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9600" windowHeight="4455" activeTab="2"/>
  </bookViews>
  <sheets>
    <sheet name="I Power SI" sheetId="1" r:id="rId1"/>
    <sheet name="I Power US" sheetId="2" r:id="rId2"/>
    <sheet name="I Pressure SI" sheetId="3" r:id="rId3"/>
    <sheet name="I Pressure US" sheetId="4" r:id="rId4"/>
    <sheet name="II-A &amp;II-B SI" sheetId="5" r:id="rId5"/>
    <sheet name="II-A &amp;II-B US" sheetId="6" r:id="rId6"/>
    <sheet name="III-A &amp; III-B SI" sheetId="7" r:id="rId7"/>
    <sheet name="III-A&amp;III-B US" sheetId="8" r:id="rId8"/>
    <sheet name="System Curve-US" sheetId="9" r:id="rId9"/>
    <sheet name="Friction Factor" sheetId="10" r:id="rId10"/>
  </sheets>
  <definedNames/>
  <calcPr fullCalcOnLoad="1"/>
</workbook>
</file>

<file path=xl/sharedStrings.xml><?xml version="1.0" encoding="utf-8"?>
<sst xmlns="http://schemas.openxmlformats.org/spreadsheetml/2006/main" count="1147" uniqueCount="303">
  <si>
    <t>APPLIED FLUID MECHANICS</t>
  </si>
  <si>
    <r>
      <t xml:space="preserve">I Power SI:                </t>
    </r>
    <r>
      <rPr>
        <b/>
        <sz val="10"/>
        <rFont val="Arial"/>
        <family val="0"/>
      </rPr>
      <t>CLASS I SERIES SYSTEMS</t>
    </r>
  </si>
  <si>
    <r>
      <t>Objective:</t>
    </r>
    <r>
      <rPr>
        <b/>
        <i/>
        <sz val="10"/>
        <rFont val="Arial"/>
        <family val="0"/>
      </rPr>
      <t xml:space="preserve"> Pump power</t>
    </r>
  </si>
  <si>
    <t>Reference points for the energy equation:</t>
  </si>
  <si>
    <t>Example Problem 11.1</t>
  </si>
  <si>
    <t>Point 1:</t>
  </si>
  <si>
    <t>At surface of lower reservoir</t>
  </si>
  <si>
    <t>Fig. 11.2</t>
  </si>
  <si>
    <t>Point 2:</t>
  </si>
  <si>
    <t>At surface of upper reservoir</t>
  </si>
  <si>
    <t>System Data:</t>
  </si>
  <si>
    <t>SI Metric Units</t>
  </si>
  <si>
    <t>Volume flow rate: Q =</t>
  </si>
  <si>
    <r>
      <t>m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0"/>
      </rPr>
      <t>/s</t>
    </r>
  </si>
  <si>
    <t>Elevation at point 1 =</t>
  </si>
  <si>
    <t>m</t>
  </si>
  <si>
    <t>Pressure at point 1 =</t>
  </si>
  <si>
    <t>kPa</t>
  </si>
  <si>
    <t>Elevation at point 2 =</t>
  </si>
  <si>
    <t>Pressure at point 2 =</t>
  </si>
  <si>
    <t>If Ref. pt. is in pipe: Set v1 "= B20" OR Set v2 "= E20"</t>
  </si>
  <si>
    <t>Velocity at point 1 =</t>
  </si>
  <si>
    <t>m/s --&gt;</t>
  </si>
  <si>
    <t>Vel head at point 1 =</t>
  </si>
  <si>
    <t>Velocity at point 2 =</t>
  </si>
  <si>
    <t>Vel head at point 2 =</t>
  </si>
  <si>
    <t>Fluid Properties:</t>
  </si>
  <si>
    <t>Specific weight =</t>
  </si>
  <si>
    <r>
      <t>kN/m</t>
    </r>
    <r>
      <rPr>
        <i/>
        <vertAlign val="superscript"/>
        <sz val="10"/>
        <rFont val="Arial"/>
        <family val="2"/>
      </rPr>
      <t>3</t>
    </r>
  </si>
  <si>
    <t>Kinematic viscosity =</t>
  </si>
  <si>
    <r>
      <t>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0"/>
      </rPr>
      <t>/s</t>
    </r>
  </si>
  <si>
    <t>Pipe 1: 4-in Schedule 40 steel pipe</t>
  </si>
  <si>
    <t>Pipe 2:  2-in Schedule 40 steel pipe</t>
  </si>
  <si>
    <t>Diameter: D =</t>
  </si>
  <si>
    <r>
      <t xml:space="preserve">Wall roughness: </t>
    </r>
    <r>
      <rPr>
        <sz val="10"/>
        <rFont val="Symbol"/>
        <family val="1"/>
      </rPr>
      <t>e</t>
    </r>
    <r>
      <rPr>
        <sz val="10"/>
        <rFont val="Arial"/>
        <family val="2"/>
      </rPr>
      <t xml:space="preserve"> =</t>
    </r>
  </si>
  <si>
    <t>Length: L =</t>
  </si>
  <si>
    <r>
      <t xml:space="preserve">Area: </t>
    </r>
    <r>
      <rPr>
        <i/>
        <sz val="10"/>
        <rFont val="Arial"/>
        <family val="0"/>
      </rPr>
      <t>A =</t>
    </r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</si>
  <si>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</si>
  <si>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 xml:space="preserve">2  </t>
    </r>
    <r>
      <rPr>
        <sz val="10"/>
        <rFont val="Arial"/>
        <family val="2"/>
      </rPr>
      <t xml:space="preserve">  [A = </t>
    </r>
    <r>
      <rPr>
        <sz val="10"/>
        <rFont val="Symbol"/>
        <family val="1"/>
      </rPr>
      <t>p</t>
    </r>
    <r>
      <rPr>
        <sz val="10"/>
        <rFont val="Arial"/>
        <family val="2"/>
      </rPr>
      <t>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/4]</t>
    </r>
  </si>
  <si>
    <r>
      <t>D</t>
    </r>
    <r>
      <rPr>
        <sz val="10"/>
        <rFont val="Arial"/>
        <family val="2"/>
      </rPr>
      <t>/</t>
    </r>
    <r>
      <rPr>
        <sz val="10"/>
        <rFont val="Symbol"/>
        <family val="1"/>
      </rPr>
      <t>e</t>
    </r>
    <r>
      <rPr>
        <sz val="10"/>
        <rFont val="Arial"/>
        <family val="2"/>
      </rPr>
      <t xml:space="preserve"> =</t>
    </r>
  </si>
  <si>
    <t xml:space="preserve">        Relative roughness</t>
  </si>
  <si>
    <r>
      <t>L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D =</t>
    </r>
  </si>
  <si>
    <t>Flow Velocity =</t>
  </si>
  <si>
    <t>m/s</t>
  </si>
  <si>
    <r>
      <t>m/s     [</t>
    </r>
    <r>
      <rPr>
        <i/>
        <sz val="10"/>
        <rFont val="Arial"/>
        <family val="0"/>
      </rPr>
      <t>v = Q/A</t>
    </r>
    <r>
      <rPr>
        <sz val="10"/>
        <rFont val="Arial"/>
        <family val="0"/>
      </rPr>
      <t>]</t>
    </r>
  </si>
  <si>
    <t>Velocity head =</t>
  </si>
  <si>
    <r>
      <t>m        [</t>
    </r>
    <r>
      <rPr>
        <i/>
        <sz val="10"/>
        <rFont val="Arial"/>
        <family val="0"/>
      </rPr>
      <t>v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0"/>
      </rPr>
      <t>/2g</t>
    </r>
    <r>
      <rPr>
        <sz val="10"/>
        <rFont val="Arial"/>
        <family val="0"/>
      </rPr>
      <t>]</t>
    </r>
  </si>
  <si>
    <t>Reynolds No. =</t>
  </si>
  <si>
    <r>
      <t xml:space="preserve">          </t>
    </r>
    <r>
      <rPr>
        <sz val="10"/>
        <rFont val="Arial"/>
        <family val="2"/>
      </rPr>
      <t>[</t>
    </r>
    <r>
      <rPr>
        <i/>
        <sz val="10"/>
        <rFont val="Arial"/>
        <family val="0"/>
      </rPr>
      <t>N</t>
    </r>
    <r>
      <rPr>
        <i/>
        <vertAlign val="subscript"/>
        <sz val="10"/>
        <rFont val="Arial"/>
        <family val="2"/>
      </rPr>
      <t>R</t>
    </r>
    <r>
      <rPr>
        <i/>
        <sz val="10"/>
        <rFont val="Arial"/>
        <family val="2"/>
      </rPr>
      <t xml:space="preserve"> = vD/</t>
    </r>
    <r>
      <rPr>
        <sz val="10"/>
        <rFont val="Symbol"/>
        <family val="1"/>
      </rPr>
      <t>n]</t>
    </r>
  </si>
  <si>
    <r>
      <t xml:space="preserve">Friction factor: </t>
    </r>
    <r>
      <rPr>
        <i/>
        <sz val="10"/>
        <rFont val="Arial"/>
        <family val="0"/>
      </rPr>
      <t>f</t>
    </r>
    <r>
      <rPr>
        <sz val="10"/>
        <rFont val="Arial"/>
        <family val="2"/>
      </rPr>
      <t xml:space="preserve"> =</t>
    </r>
  </si>
  <si>
    <t>Energy losses-Pipe 1:</t>
  </si>
  <si>
    <t>K</t>
  </si>
  <si>
    <t>Qty.</t>
  </si>
  <si>
    <r>
      <t>Pipe: K</t>
    </r>
    <r>
      <rPr>
        <i/>
        <vertAlign val="subscript"/>
        <sz val="10"/>
        <rFont val="Arial"/>
        <family val="2"/>
      </rPr>
      <t>1</t>
    </r>
    <r>
      <rPr>
        <i/>
        <sz val="10"/>
        <rFont val="Arial"/>
        <family val="0"/>
      </rPr>
      <t xml:space="preserve"> = f(L/D) </t>
    </r>
    <r>
      <rPr>
        <i/>
        <sz val="10"/>
        <rFont val="Arial"/>
        <family val="2"/>
      </rPr>
      <t>=</t>
    </r>
  </si>
  <si>
    <r>
      <t xml:space="preserve">Energy loss </t>
    </r>
    <r>
      <rPr>
        <i/>
        <sz val="10"/>
        <rFont val="Arial"/>
        <family val="0"/>
      </rPr>
      <t>h</t>
    </r>
    <r>
      <rPr>
        <i/>
        <vertAlign val="subscript"/>
        <sz val="10"/>
        <rFont val="Arial"/>
        <family val="2"/>
      </rPr>
      <t>L1</t>
    </r>
    <r>
      <rPr>
        <i/>
        <sz val="10"/>
        <rFont val="Arial"/>
        <family val="2"/>
      </rPr>
      <t xml:space="preserve"> =</t>
    </r>
  </si>
  <si>
    <t>m   Friction</t>
  </si>
  <si>
    <r>
      <t>Entrance loss: K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=</t>
    </r>
  </si>
  <si>
    <r>
      <t xml:space="preserve">Energy loss </t>
    </r>
    <r>
      <rPr>
        <i/>
        <sz val="10"/>
        <rFont val="Arial"/>
        <family val="0"/>
      </rPr>
      <t>h</t>
    </r>
    <r>
      <rPr>
        <i/>
        <vertAlign val="subscript"/>
        <sz val="10"/>
        <rFont val="Arial"/>
        <family val="2"/>
      </rPr>
      <t>L2</t>
    </r>
    <r>
      <rPr>
        <i/>
        <sz val="10"/>
        <rFont val="Arial"/>
        <family val="2"/>
      </rPr>
      <t xml:space="preserve"> =</t>
    </r>
  </si>
  <si>
    <t xml:space="preserve">m </t>
  </si>
  <si>
    <r>
      <t>Element 3: K</t>
    </r>
    <r>
      <rPr>
        <i/>
        <vertAlign val="subscript"/>
        <sz val="10"/>
        <rFont val="Arial"/>
        <family val="2"/>
      </rPr>
      <t>3</t>
    </r>
    <r>
      <rPr>
        <i/>
        <sz val="10"/>
        <rFont val="Arial"/>
        <family val="2"/>
      </rPr>
      <t xml:space="preserve"> =</t>
    </r>
  </si>
  <si>
    <r>
      <t xml:space="preserve">Energy loss </t>
    </r>
    <r>
      <rPr>
        <i/>
        <sz val="10"/>
        <rFont val="Arial"/>
        <family val="0"/>
      </rPr>
      <t>h</t>
    </r>
    <r>
      <rPr>
        <i/>
        <vertAlign val="subscript"/>
        <sz val="10"/>
        <rFont val="Arial"/>
        <family val="2"/>
      </rPr>
      <t>L3</t>
    </r>
    <r>
      <rPr>
        <i/>
        <sz val="10"/>
        <rFont val="Arial"/>
        <family val="2"/>
      </rPr>
      <t xml:space="preserve"> =</t>
    </r>
  </si>
  <si>
    <r>
      <t>Element 4: K</t>
    </r>
    <r>
      <rPr>
        <i/>
        <vertAlign val="subscript"/>
        <sz val="10"/>
        <rFont val="Arial"/>
        <family val="2"/>
      </rPr>
      <t>4</t>
    </r>
    <r>
      <rPr>
        <i/>
        <sz val="10"/>
        <rFont val="Arial"/>
        <family val="2"/>
      </rPr>
      <t xml:space="preserve"> =</t>
    </r>
  </si>
  <si>
    <r>
      <t xml:space="preserve">Energy loss </t>
    </r>
    <r>
      <rPr>
        <i/>
        <sz val="10"/>
        <rFont val="Arial"/>
        <family val="0"/>
      </rPr>
      <t>h</t>
    </r>
    <r>
      <rPr>
        <i/>
        <vertAlign val="subscript"/>
        <sz val="10"/>
        <rFont val="Arial"/>
        <family val="2"/>
      </rPr>
      <t>L4</t>
    </r>
    <r>
      <rPr>
        <i/>
        <sz val="10"/>
        <rFont val="Arial"/>
        <family val="2"/>
      </rPr>
      <t xml:space="preserve"> =</t>
    </r>
  </si>
  <si>
    <r>
      <t>Element 5: K</t>
    </r>
    <r>
      <rPr>
        <i/>
        <vertAlign val="subscript"/>
        <sz val="10"/>
        <rFont val="Arial"/>
        <family val="2"/>
      </rPr>
      <t>5</t>
    </r>
    <r>
      <rPr>
        <i/>
        <sz val="10"/>
        <rFont val="Arial"/>
        <family val="2"/>
      </rPr>
      <t xml:space="preserve"> =</t>
    </r>
  </si>
  <si>
    <r>
      <t xml:space="preserve">Energy loss </t>
    </r>
    <r>
      <rPr>
        <i/>
        <sz val="10"/>
        <rFont val="Arial"/>
        <family val="0"/>
      </rPr>
      <t>h</t>
    </r>
    <r>
      <rPr>
        <i/>
        <vertAlign val="subscript"/>
        <sz val="10"/>
        <rFont val="Arial"/>
        <family val="2"/>
      </rPr>
      <t>L5</t>
    </r>
    <r>
      <rPr>
        <i/>
        <sz val="10"/>
        <rFont val="Arial"/>
        <family val="2"/>
      </rPr>
      <t xml:space="preserve"> =</t>
    </r>
  </si>
  <si>
    <r>
      <t>Element 6: K</t>
    </r>
    <r>
      <rPr>
        <i/>
        <vertAlign val="subscript"/>
        <sz val="10"/>
        <rFont val="Arial"/>
        <family val="2"/>
      </rPr>
      <t>6</t>
    </r>
    <r>
      <rPr>
        <i/>
        <sz val="10"/>
        <rFont val="Arial"/>
        <family val="2"/>
      </rPr>
      <t xml:space="preserve"> =</t>
    </r>
  </si>
  <si>
    <r>
      <t xml:space="preserve">Energy loss </t>
    </r>
    <r>
      <rPr>
        <i/>
        <sz val="10"/>
        <rFont val="Arial"/>
        <family val="0"/>
      </rPr>
      <t>h</t>
    </r>
    <r>
      <rPr>
        <i/>
        <vertAlign val="subscript"/>
        <sz val="10"/>
        <rFont val="Arial"/>
        <family val="2"/>
      </rPr>
      <t>L6</t>
    </r>
    <r>
      <rPr>
        <i/>
        <sz val="10"/>
        <rFont val="Arial"/>
        <family val="2"/>
      </rPr>
      <t xml:space="preserve"> =</t>
    </r>
  </si>
  <si>
    <r>
      <t>Element 7: K</t>
    </r>
    <r>
      <rPr>
        <i/>
        <vertAlign val="subscript"/>
        <sz val="10"/>
        <rFont val="Arial"/>
        <family val="2"/>
      </rPr>
      <t>7</t>
    </r>
    <r>
      <rPr>
        <i/>
        <sz val="10"/>
        <rFont val="Arial"/>
        <family val="2"/>
      </rPr>
      <t xml:space="preserve"> =</t>
    </r>
  </si>
  <si>
    <r>
      <t xml:space="preserve">Energy loss </t>
    </r>
    <r>
      <rPr>
        <i/>
        <sz val="10"/>
        <rFont val="Arial"/>
        <family val="0"/>
      </rPr>
      <t>h</t>
    </r>
    <r>
      <rPr>
        <i/>
        <vertAlign val="subscript"/>
        <sz val="10"/>
        <rFont val="Arial"/>
        <family val="2"/>
      </rPr>
      <t>L7</t>
    </r>
    <r>
      <rPr>
        <i/>
        <sz val="10"/>
        <rFont val="Arial"/>
        <family val="2"/>
      </rPr>
      <t xml:space="preserve"> =</t>
    </r>
  </si>
  <si>
    <r>
      <t>Element 8: K</t>
    </r>
    <r>
      <rPr>
        <i/>
        <vertAlign val="subscript"/>
        <sz val="10"/>
        <rFont val="Arial"/>
        <family val="2"/>
      </rPr>
      <t>8</t>
    </r>
    <r>
      <rPr>
        <i/>
        <sz val="10"/>
        <rFont val="Arial"/>
        <family val="2"/>
      </rPr>
      <t xml:space="preserve"> =</t>
    </r>
  </si>
  <si>
    <r>
      <t xml:space="preserve">Energy loss </t>
    </r>
    <r>
      <rPr>
        <i/>
        <sz val="10"/>
        <rFont val="Arial"/>
        <family val="0"/>
      </rPr>
      <t>h</t>
    </r>
    <r>
      <rPr>
        <i/>
        <vertAlign val="subscript"/>
        <sz val="10"/>
        <rFont val="Arial"/>
        <family val="2"/>
      </rPr>
      <t>L8</t>
    </r>
    <r>
      <rPr>
        <i/>
        <sz val="10"/>
        <rFont val="Arial"/>
        <family val="2"/>
      </rPr>
      <t xml:space="preserve"> =</t>
    </r>
  </si>
  <si>
    <t>Energy losses-Pipe 2:</t>
  </si>
  <si>
    <t>m  Friction</t>
  </si>
  <si>
    <r>
      <t>Globe valve: K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=</t>
    </r>
  </si>
  <si>
    <r>
      <t>2 std elbows: K</t>
    </r>
    <r>
      <rPr>
        <i/>
        <vertAlign val="subscript"/>
        <sz val="10"/>
        <rFont val="Arial"/>
        <family val="2"/>
      </rPr>
      <t>3</t>
    </r>
    <r>
      <rPr>
        <i/>
        <sz val="10"/>
        <rFont val="Arial"/>
        <family val="2"/>
      </rPr>
      <t xml:space="preserve"> =</t>
    </r>
  </si>
  <si>
    <r>
      <t>Exit loss: K</t>
    </r>
    <r>
      <rPr>
        <i/>
        <vertAlign val="subscript"/>
        <sz val="10"/>
        <rFont val="Arial"/>
        <family val="2"/>
      </rPr>
      <t>4</t>
    </r>
    <r>
      <rPr>
        <i/>
        <sz val="10"/>
        <rFont val="Arial"/>
        <family val="2"/>
      </rPr>
      <t xml:space="preserve"> =</t>
    </r>
  </si>
  <si>
    <r>
      <t xml:space="preserve">Total energy loss </t>
    </r>
    <r>
      <rPr>
        <i/>
        <sz val="10"/>
        <rFont val="Arial"/>
        <family val="0"/>
      </rPr>
      <t>h</t>
    </r>
    <r>
      <rPr>
        <i/>
        <vertAlign val="subscript"/>
        <sz val="10"/>
        <rFont val="Arial"/>
        <family val="2"/>
      </rPr>
      <t>Ltot</t>
    </r>
    <r>
      <rPr>
        <i/>
        <sz val="10"/>
        <rFont val="Arial"/>
        <family val="2"/>
      </rPr>
      <t xml:space="preserve"> =</t>
    </r>
  </si>
  <si>
    <t>Results:</t>
  </si>
  <si>
    <r>
      <t xml:space="preserve">Total head on pump: </t>
    </r>
    <r>
      <rPr>
        <i/>
        <sz val="10"/>
        <rFont val="Arial"/>
        <family val="0"/>
      </rPr>
      <t>h</t>
    </r>
    <r>
      <rPr>
        <i/>
        <vertAlign val="sub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=</t>
    </r>
  </si>
  <si>
    <r>
      <t xml:space="preserve">Power added to fluid: </t>
    </r>
    <r>
      <rPr>
        <i/>
        <sz val="10"/>
        <rFont val="Arial"/>
        <family val="0"/>
      </rPr>
      <t>P</t>
    </r>
    <r>
      <rPr>
        <i/>
        <vertAlign val="sub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=</t>
    </r>
  </si>
  <si>
    <t>kW</t>
  </si>
  <si>
    <t>Pump efficiency =</t>
  </si>
  <si>
    <t>%</t>
  </si>
  <si>
    <r>
      <t xml:space="preserve">Power input to pump: </t>
    </r>
    <r>
      <rPr>
        <i/>
        <sz val="10"/>
        <rFont val="Arial"/>
        <family val="0"/>
      </rPr>
      <t>P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 xml:space="preserve"> =</t>
    </r>
  </si>
  <si>
    <r>
      <t xml:space="preserve">I Power US:               </t>
    </r>
    <r>
      <rPr>
        <b/>
        <sz val="10"/>
        <rFont val="Arial"/>
        <family val="0"/>
      </rPr>
      <t>CLASS I SERIES SYSTEMS</t>
    </r>
  </si>
  <si>
    <t>Problem 11.29</t>
  </si>
  <si>
    <t>Pt. 1:</t>
  </si>
  <si>
    <t>At pump inlet - Point A in Figure 11.23</t>
  </si>
  <si>
    <t>Fig. 11.26</t>
  </si>
  <si>
    <t>Pt. 2:</t>
  </si>
  <si>
    <t>In free stream of fluid outside nozzle</t>
  </si>
  <si>
    <t>U.S. Customary Units</t>
  </si>
  <si>
    <r>
      <t>ft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0"/>
      </rPr>
      <t>/s</t>
    </r>
  </si>
  <si>
    <t>ft</t>
  </si>
  <si>
    <t>psig</t>
  </si>
  <si>
    <r>
      <t>If Ref. pt. is in pipe: Set v</t>
    </r>
    <r>
      <rPr>
        <i/>
        <vertAlign val="subscript"/>
        <sz val="10"/>
        <rFont val="Arial"/>
        <family val="2"/>
      </rPr>
      <t>1</t>
    </r>
    <r>
      <rPr>
        <i/>
        <sz val="10"/>
        <rFont val="Arial"/>
        <family val="0"/>
      </rPr>
      <t xml:space="preserve"> "= B20" OR Set v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0"/>
      </rPr>
      <t xml:space="preserve"> "= E20"</t>
    </r>
  </si>
  <si>
    <t>ft/s --&gt;</t>
  </si>
  <si>
    <r>
      <t>lb/ft</t>
    </r>
    <r>
      <rPr>
        <i/>
        <vertAlign val="superscript"/>
        <sz val="10"/>
        <rFont val="Arial"/>
        <family val="2"/>
      </rPr>
      <t>3</t>
    </r>
  </si>
  <si>
    <r>
      <t>ft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0"/>
      </rPr>
      <t>/s</t>
    </r>
  </si>
  <si>
    <t>Pipe 1:  3-in Schedule 40 steel pipe</t>
  </si>
  <si>
    <t>Pipe 2:  2 1/2-in Schedule 40 steel pipe</t>
  </si>
  <si>
    <r>
      <t>ft</t>
    </r>
    <r>
      <rPr>
        <vertAlign val="superscript"/>
        <sz val="10"/>
        <rFont val="Arial"/>
        <family val="2"/>
      </rPr>
      <t>2</t>
    </r>
  </si>
  <si>
    <r>
      <t>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[A = </t>
    </r>
    <r>
      <rPr>
        <sz val="10"/>
        <rFont val="Symbol"/>
        <family val="1"/>
      </rPr>
      <t>p</t>
    </r>
    <r>
      <rPr>
        <sz val="10"/>
        <rFont val="Arial"/>
        <family val="2"/>
      </rPr>
      <t>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/4]</t>
    </r>
  </si>
  <si>
    <t>ft/s</t>
  </si>
  <si>
    <r>
      <t>ft/s     [</t>
    </r>
    <r>
      <rPr>
        <i/>
        <sz val="10"/>
        <rFont val="Arial"/>
        <family val="0"/>
      </rPr>
      <t>v = Q/A</t>
    </r>
    <r>
      <rPr>
        <sz val="10"/>
        <rFont val="Arial"/>
        <family val="0"/>
      </rPr>
      <t>]</t>
    </r>
  </si>
  <si>
    <r>
      <t>ft        [</t>
    </r>
    <r>
      <rPr>
        <i/>
        <sz val="10"/>
        <rFont val="Arial"/>
        <family val="0"/>
      </rPr>
      <t>v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0"/>
      </rPr>
      <t>/2g</t>
    </r>
    <r>
      <rPr>
        <sz val="10"/>
        <rFont val="Arial"/>
        <family val="0"/>
      </rPr>
      <t>]</t>
    </r>
  </si>
  <si>
    <r>
      <t>Pipe: K</t>
    </r>
    <r>
      <rPr>
        <i/>
        <vertAlign val="sub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=</t>
    </r>
  </si>
  <si>
    <r>
      <t>Element 2: K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=</t>
    </r>
  </si>
  <si>
    <r>
      <t>Elbow: K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=</t>
    </r>
  </si>
  <si>
    <r>
      <t>Nozzle: K</t>
    </r>
    <r>
      <rPr>
        <i/>
        <vertAlign val="subscript"/>
        <sz val="10"/>
        <rFont val="Arial"/>
        <family val="2"/>
      </rPr>
      <t>3</t>
    </r>
    <r>
      <rPr>
        <i/>
        <sz val="10"/>
        <rFont val="Arial"/>
        <family val="2"/>
      </rPr>
      <t xml:space="preserve"> =</t>
    </r>
  </si>
  <si>
    <t>hp</t>
  </si>
  <si>
    <r>
      <t xml:space="preserve">I Pressure SI:            </t>
    </r>
    <r>
      <rPr>
        <b/>
        <sz val="10"/>
        <rFont val="Arial"/>
        <family val="0"/>
      </rPr>
      <t>CLASS I SERIES SYSTEMS</t>
    </r>
  </si>
  <si>
    <r>
      <t>Objective:</t>
    </r>
    <r>
      <rPr>
        <b/>
        <i/>
        <sz val="10"/>
        <rFont val="Arial"/>
        <family val="0"/>
      </rPr>
      <t xml:space="preserve"> Pressure: Point 2</t>
    </r>
  </si>
  <si>
    <t>In pipe at Point B</t>
  </si>
  <si>
    <r>
      <t>If Ref. pt. is in pipe: Set v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"= B20" OR Set v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"= E20"</t>
    </r>
  </si>
  <si>
    <t>Pipe 2: None</t>
  </si>
  <si>
    <r>
      <t>m</t>
    </r>
    <r>
      <rPr>
        <vertAlign val="superscript"/>
        <sz val="10"/>
        <rFont val="Arial"/>
        <family val="2"/>
      </rPr>
      <t xml:space="preserve">2     </t>
    </r>
    <r>
      <rPr>
        <sz val="10"/>
        <rFont val="Arial"/>
        <family val="2"/>
      </rPr>
      <t xml:space="preserve"> [A = </t>
    </r>
    <r>
      <rPr>
        <sz val="10"/>
        <rFont val="Symbol"/>
        <family val="1"/>
      </rPr>
      <t>p</t>
    </r>
    <r>
      <rPr>
        <sz val="10"/>
        <rFont val="Arial"/>
        <family val="2"/>
      </rPr>
      <t>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/4]</t>
    </r>
  </si>
  <si>
    <t>m/s    [v = Q/A]</t>
  </si>
  <si>
    <r>
      <t xml:space="preserve">         [N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 xml:space="preserve"> = vD/</t>
    </r>
    <r>
      <rPr>
        <sz val="10"/>
        <rFont val="Symbol"/>
        <family val="1"/>
      </rPr>
      <t>n]</t>
    </r>
  </si>
  <si>
    <t>m     Friction</t>
  </si>
  <si>
    <t>Pressure at target point:</t>
  </si>
  <si>
    <r>
      <t xml:space="preserve">I Pressure US:                    </t>
    </r>
    <r>
      <rPr>
        <b/>
        <sz val="10"/>
        <rFont val="Arial"/>
        <family val="0"/>
      </rPr>
      <t>CLASS I SERIES SYSTEMS</t>
    </r>
  </si>
  <si>
    <t>Problem 11.3</t>
  </si>
  <si>
    <t>In pipe at Point A at outlet of pump</t>
  </si>
  <si>
    <t>Fig. 11.13</t>
  </si>
  <si>
    <t>In pipe at Point B at inlet to the hydraulic cylinder</t>
  </si>
  <si>
    <t>US Customary Units</t>
  </si>
  <si>
    <t>Pipe 1:  2-in Sch. 40 steel pipe</t>
  </si>
  <si>
    <r>
      <t>ft</t>
    </r>
    <r>
      <rPr>
        <vertAlign val="superscript"/>
        <sz val="10"/>
        <rFont val="Arial"/>
        <family val="2"/>
      </rPr>
      <t xml:space="preserve">2     </t>
    </r>
    <r>
      <rPr>
        <sz val="10"/>
        <rFont val="Arial"/>
        <family val="2"/>
      </rPr>
      <t xml:space="preserve"> [A = </t>
    </r>
    <r>
      <rPr>
        <sz val="10"/>
        <rFont val="Symbol"/>
        <family val="1"/>
      </rPr>
      <t>p</t>
    </r>
    <r>
      <rPr>
        <sz val="10"/>
        <rFont val="Arial"/>
        <family val="2"/>
      </rPr>
      <t>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/4]</t>
    </r>
  </si>
  <si>
    <t>ft/s    [v = Q/A]</t>
  </si>
  <si>
    <t>ft       [v2/2g]</t>
  </si>
  <si>
    <t>ft     Friction</t>
  </si>
  <si>
    <r>
      <t>Control valve: K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=</t>
    </r>
  </si>
  <si>
    <r>
      <t>2 elbows: K</t>
    </r>
    <r>
      <rPr>
        <i/>
        <vertAlign val="subscript"/>
        <sz val="10"/>
        <rFont val="Arial"/>
        <family val="2"/>
      </rPr>
      <t>3</t>
    </r>
    <r>
      <rPr>
        <i/>
        <sz val="10"/>
        <rFont val="Arial"/>
        <family val="2"/>
      </rPr>
      <t xml:space="preserve"> =</t>
    </r>
  </si>
  <si>
    <r>
      <t>ft    (f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=0.019)</t>
    </r>
  </si>
  <si>
    <t>Energy losses in Pipe 2:</t>
  </si>
  <si>
    <t xml:space="preserve">      Total change in pressure:</t>
  </si>
  <si>
    <t>psi</t>
  </si>
  <si>
    <r>
      <t xml:space="preserve">             II-A &amp; II-B SI:             </t>
    </r>
    <r>
      <rPr>
        <b/>
        <sz val="10"/>
        <rFont val="Arial"/>
        <family val="0"/>
      </rPr>
      <t>CLASS II SERIES SYSTEMS</t>
    </r>
  </si>
  <si>
    <t>Objective: Volume flow rate</t>
  </si>
  <si>
    <t>Method II-A: No minor losses</t>
  </si>
  <si>
    <t>Example Problem 11.3</t>
  </si>
  <si>
    <t>Uses Equation 11-3 to estimate the allowable volume flow rate</t>
  </si>
  <si>
    <t>Figure 11.7</t>
  </si>
  <si>
    <t>to maintain desired pressure at point 2 for a given pressure at point 1</t>
  </si>
  <si>
    <r>
      <t>Energy loss: h</t>
    </r>
    <r>
      <rPr>
        <i/>
        <vertAlign val="subscript"/>
        <sz val="10"/>
        <rFont val="Arial"/>
        <family val="2"/>
      </rPr>
      <t>L</t>
    </r>
    <r>
      <rPr>
        <i/>
        <sz val="10"/>
        <rFont val="Arial"/>
        <family val="2"/>
      </rPr>
      <t xml:space="preserve"> =</t>
    </r>
  </si>
  <si>
    <t>Pipe data: 6-in Schedule 40 steel pipe</t>
  </si>
  <si>
    <r>
      <t xml:space="preserve">Wall roughness: </t>
    </r>
    <r>
      <rPr>
        <i/>
        <sz val="10"/>
        <rFont val="Symbol"/>
        <family val="1"/>
      </rPr>
      <t>e</t>
    </r>
    <r>
      <rPr>
        <i/>
        <sz val="10"/>
        <rFont val="Arial"/>
        <family val="0"/>
      </rPr>
      <t xml:space="preserve"> =</t>
    </r>
  </si>
  <si>
    <t>Results:  Maximum values</t>
  </si>
  <si>
    <r>
      <t xml:space="preserve">Area: </t>
    </r>
    <r>
      <rPr>
        <i/>
        <sz val="10"/>
        <rFont val="Arial"/>
        <family val="0"/>
      </rPr>
      <t>A</t>
    </r>
    <r>
      <rPr>
        <sz val="10"/>
        <rFont val="Arial"/>
        <family val="2"/>
      </rPr>
      <t xml:space="preserve"> = </t>
    </r>
  </si>
  <si>
    <r>
      <t xml:space="preserve">Volume flow rate: </t>
    </r>
    <r>
      <rPr>
        <i/>
        <sz val="10"/>
        <rFont val="Arial"/>
        <family val="0"/>
      </rPr>
      <t>Q</t>
    </r>
    <r>
      <rPr>
        <sz val="10"/>
        <rFont val="Arial"/>
        <family val="0"/>
      </rPr>
      <t xml:space="preserve"> =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</si>
  <si>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       Using Eq. 11-3</t>
    </r>
  </si>
  <si>
    <r>
      <t>D/</t>
    </r>
    <r>
      <rPr>
        <i/>
        <sz val="10"/>
        <rFont val="Symbol"/>
        <family val="1"/>
      </rPr>
      <t>e</t>
    </r>
    <r>
      <rPr>
        <sz val="10"/>
        <rFont val="Arial"/>
        <family val="2"/>
      </rPr>
      <t xml:space="preserve"> =</t>
    </r>
  </si>
  <si>
    <r>
      <t xml:space="preserve">Velocity: </t>
    </r>
    <r>
      <rPr>
        <i/>
        <sz val="10"/>
        <rFont val="Arial"/>
        <family val="0"/>
      </rPr>
      <t>v</t>
    </r>
    <r>
      <rPr>
        <sz val="10"/>
        <rFont val="Arial"/>
        <family val="0"/>
      </rPr>
      <t xml:space="preserve"> =</t>
    </r>
  </si>
  <si>
    <t>CLASS II SERIES SYSTEMS</t>
  </si>
  <si>
    <r>
      <t>Method II-B:</t>
    </r>
    <r>
      <rPr>
        <i/>
        <sz val="10"/>
        <rFont val="Arial"/>
        <family val="0"/>
      </rPr>
      <t xml:space="preserve"> Use results of Method IIA;</t>
    </r>
  </si>
  <si>
    <r>
      <t>Given: Pressure</t>
    </r>
    <r>
      <rPr>
        <i/>
        <sz val="10"/>
        <rFont val="Arial"/>
        <family val="0"/>
      </rPr>
      <t xml:space="preserve"> p</t>
    </r>
    <r>
      <rPr>
        <i/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</si>
  <si>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t xml:space="preserve">Include minor losses; </t>
  </si>
  <si>
    <r>
      <t>Pressure</t>
    </r>
    <r>
      <rPr>
        <b/>
        <i/>
        <sz val="10"/>
        <rFont val="Arial"/>
        <family val="0"/>
      </rPr>
      <t xml:space="preserve"> p</t>
    </r>
    <r>
      <rPr>
        <b/>
        <i/>
        <vertAlign val="sub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=</t>
    </r>
  </si>
  <si>
    <t>then pressure at Point 2 is computed</t>
  </si>
  <si>
    <t>NOTE: Should be &gt;</t>
  </si>
  <si>
    <t>Additional Pipe Data:</t>
  </si>
  <si>
    <r>
      <t>Adjust estimate for Q until p</t>
    </r>
    <r>
      <rPr>
        <b/>
        <i/>
        <vertAlign val="subscript"/>
        <sz val="10"/>
        <rFont val="Arial"/>
        <family val="2"/>
      </rPr>
      <t>2</t>
    </r>
  </si>
  <si>
    <t>is greater than desired pressure.</t>
  </si>
  <si>
    <t>m/s |--&gt; If velocity is in pipe:</t>
  </si>
  <si>
    <t>m/s |--&gt; Enter "=B24"</t>
  </si>
  <si>
    <t>Vel. head at point 1 =</t>
  </si>
  <si>
    <t>Vel. head at point 2 =</t>
  </si>
  <si>
    <t>Energy losses in Pipe:</t>
  </si>
  <si>
    <r>
      <t>Pipe: K</t>
    </r>
    <r>
      <rPr>
        <i/>
        <vertAlign val="subscript"/>
        <sz val="10"/>
        <rFont val="Arial"/>
        <family val="2"/>
      </rPr>
      <t>1</t>
    </r>
    <r>
      <rPr>
        <i/>
        <sz val="10"/>
        <rFont val="Arial"/>
        <family val="0"/>
      </rPr>
      <t xml:space="preserve"> = f(L/D) =</t>
    </r>
  </si>
  <si>
    <r>
      <t>2 std. elbows: K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=</t>
    </r>
  </si>
  <si>
    <r>
      <t>Butterfly valve: K</t>
    </r>
    <r>
      <rPr>
        <i/>
        <vertAlign val="subscript"/>
        <sz val="10"/>
        <rFont val="Arial"/>
        <family val="2"/>
      </rPr>
      <t>3</t>
    </r>
    <r>
      <rPr>
        <i/>
        <sz val="10"/>
        <rFont val="Arial"/>
        <family val="2"/>
      </rPr>
      <t xml:space="preserve"> =</t>
    </r>
  </si>
  <si>
    <r>
      <t xml:space="preserve">                II-A &amp; II-B US:         </t>
    </r>
    <r>
      <rPr>
        <b/>
        <sz val="10"/>
        <rFont val="Arial"/>
        <family val="0"/>
      </rPr>
      <t>CLASS II SERIES SYSTEMS</t>
    </r>
  </si>
  <si>
    <t>Problem 11.10</t>
  </si>
  <si>
    <r>
      <t>Energy loss:</t>
    </r>
    <r>
      <rPr>
        <i/>
        <sz val="10"/>
        <rFont val="Arial"/>
        <family val="0"/>
      </rPr>
      <t xml:space="preserve"> h</t>
    </r>
    <r>
      <rPr>
        <i/>
        <vertAlign val="subscript"/>
        <sz val="10"/>
        <rFont val="Arial"/>
        <family val="2"/>
      </rPr>
      <t>L</t>
    </r>
    <r>
      <rPr>
        <i/>
        <sz val="10"/>
        <rFont val="Arial"/>
        <family val="2"/>
      </rPr>
      <t xml:space="preserve"> =</t>
    </r>
  </si>
  <si>
    <t>Pipe data:  4-in Sch 40 steel pipe</t>
  </si>
  <si>
    <r>
      <t>Area:</t>
    </r>
    <r>
      <rPr>
        <i/>
        <sz val="10"/>
        <rFont val="Arial"/>
        <family val="0"/>
      </rPr>
      <t xml:space="preserve"> A = </t>
    </r>
  </si>
  <si>
    <r>
      <t>ft</t>
    </r>
    <r>
      <rPr>
        <vertAlign val="superscript"/>
        <sz val="10"/>
        <rFont val="Arial"/>
        <family val="2"/>
      </rPr>
      <t>2</t>
    </r>
  </si>
  <si>
    <r>
      <t>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     Using Eq. 11-3</t>
    </r>
  </si>
  <si>
    <r>
      <t>D/</t>
    </r>
    <r>
      <rPr>
        <sz val="10"/>
        <rFont val="Symbol"/>
        <family val="1"/>
      </rPr>
      <t>e</t>
    </r>
    <r>
      <rPr>
        <i/>
        <sz val="10"/>
        <rFont val="Arial"/>
        <family val="0"/>
      </rPr>
      <t xml:space="preserve"> =</t>
    </r>
  </si>
  <si>
    <t>Velocity: v =</t>
  </si>
  <si>
    <t>is equal or greater than desired.</t>
  </si>
  <si>
    <t>ft/s |--&gt; If velocity is in pipe:</t>
  </si>
  <si>
    <t xml:space="preserve">ft </t>
  </si>
  <si>
    <t>ft/s |--&gt; Enter "=B24"</t>
  </si>
  <si>
    <t>ft  Friction</t>
  </si>
  <si>
    <r>
      <t xml:space="preserve">    III-A &amp; III-B SI:</t>
    </r>
    <r>
      <rPr>
        <b/>
        <sz val="10"/>
        <rFont val="Arial"/>
        <family val="0"/>
      </rPr>
      <t xml:space="preserve">     CLASS III SERIES SYSTEMS</t>
    </r>
  </si>
  <si>
    <t>Objective:  Minimum pipe diameter</t>
  </si>
  <si>
    <r>
      <t xml:space="preserve">Method III-A: </t>
    </r>
    <r>
      <rPr>
        <i/>
        <sz val="10"/>
        <rFont val="Arial"/>
        <family val="0"/>
      </rPr>
      <t xml:space="preserve">Uses Equation 11-13 to compute the </t>
    </r>
  </si>
  <si>
    <t>Problem 11.18</t>
  </si>
  <si>
    <t>minimum size of pipe of a given length</t>
  </si>
  <si>
    <t>that will flow a given volume flow rate of fluid</t>
  </si>
  <si>
    <r>
      <t xml:space="preserve">System Data:  </t>
    </r>
    <r>
      <rPr>
        <b/>
        <sz val="10"/>
        <rFont val="Arial"/>
        <family val="0"/>
      </rPr>
      <t>SI Metric Units</t>
    </r>
  </si>
  <si>
    <t>with a limited pressure drop. (No minor losses)</t>
  </si>
  <si>
    <r>
      <t>kN/m</t>
    </r>
    <r>
      <rPr>
        <vertAlign val="superscript"/>
        <sz val="10"/>
        <rFont val="Arial"/>
        <family val="2"/>
      </rPr>
      <t>3</t>
    </r>
  </si>
  <si>
    <t>Kinematic Viscosity =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</si>
  <si>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</t>
    </r>
  </si>
  <si>
    <t>Intermediate Results in Eq. 11-13:</t>
  </si>
  <si>
    <r>
      <t xml:space="preserve">Allowable Energy Loss: </t>
    </r>
    <r>
      <rPr>
        <i/>
        <sz val="10"/>
        <rFont val="Arial"/>
        <family val="0"/>
      </rPr>
      <t>h</t>
    </r>
    <r>
      <rPr>
        <i/>
        <vertAlign val="subscript"/>
        <sz val="10"/>
        <rFont val="Arial"/>
        <family val="2"/>
      </rPr>
      <t>L</t>
    </r>
    <r>
      <rPr>
        <vertAlign val="subscript"/>
        <sz val="10"/>
        <rFont val="Arial"/>
        <family val="2"/>
      </rPr>
      <t xml:space="preserve"> =</t>
    </r>
  </si>
  <si>
    <r>
      <t>L/gh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 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</si>
  <si>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</t>
    </r>
  </si>
  <si>
    <t>Argument in bracket:</t>
  </si>
  <si>
    <t>Length of pipe: L =</t>
  </si>
  <si>
    <t>Final Minimum Diameter:</t>
  </si>
  <si>
    <r>
      <t xml:space="preserve">Pipe wall roughness: </t>
    </r>
    <r>
      <rPr>
        <sz val="10"/>
        <rFont val="Symbol"/>
        <family val="1"/>
      </rPr>
      <t>e</t>
    </r>
    <r>
      <rPr>
        <sz val="10"/>
        <rFont val="Arial"/>
        <family val="2"/>
      </rPr>
      <t xml:space="preserve"> =</t>
    </r>
  </si>
  <si>
    <r>
      <t xml:space="preserve">Minimum diameter: </t>
    </r>
    <r>
      <rPr>
        <i/>
        <sz val="10"/>
        <rFont val="Arial"/>
        <family val="0"/>
      </rPr>
      <t>D</t>
    </r>
    <r>
      <rPr>
        <sz val="10"/>
        <rFont val="Arial"/>
        <family val="0"/>
      </rPr>
      <t xml:space="preserve"> =</t>
    </r>
  </si>
  <si>
    <t>CLASS III SERIES SYSTEMS</t>
  </si>
  <si>
    <t>Specified pipe diameter: D =</t>
  </si>
  <si>
    <r>
      <t>Method III-B:</t>
    </r>
    <r>
      <rPr>
        <i/>
        <sz val="10"/>
        <rFont val="Arial"/>
        <family val="0"/>
      </rPr>
      <t xml:space="preserve"> Use results of Method III-A;</t>
    </r>
  </si>
  <si>
    <t xml:space="preserve">  4-inch Type K copper tube</t>
  </si>
  <si>
    <t xml:space="preserve">Specify actual diameter; Include minor losses; </t>
  </si>
  <si>
    <t>If velocity is in the pipe, enter "=B23" for value</t>
  </si>
  <si>
    <t>then pressure at Point 2 is computed.</t>
  </si>
  <si>
    <r>
      <t>Flow area:</t>
    </r>
    <r>
      <rPr>
        <i/>
        <sz val="10"/>
        <rFont val="Arial"/>
        <family val="0"/>
      </rPr>
      <t xml:space="preserve"> A</t>
    </r>
    <r>
      <rPr>
        <sz val="10"/>
        <rFont val="Arial"/>
        <family val="2"/>
      </rPr>
      <t xml:space="preserve"> =</t>
    </r>
  </si>
  <si>
    <r>
      <t xml:space="preserve">Relative roughness: </t>
    </r>
    <r>
      <rPr>
        <i/>
        <sz val="10"/>
        <rFont val="Arial"/>
        <family val="0"/>
      </rPr>
      <t>D</t>
    </r>
    <r>
      <rPr>
        <sz val="10"/>
        <rFont val="Arial"/>
        <family val="2"/>
      </rPr>
      <t>/</t>
    </r>
    <r>
      <rPr>
        <sz val="10"/>
        <rFont val="Symbol"/>
        <family val="1"/>
      </rPr>
      <t>e</t>
    </r>
    <r>
      <rPr>
        <sz val="10"/>
        <rFont val="Arial"/>
        <family val="2"/>
      </rPr>
      <t xml:space="preserve"> =</t>
    </r>
  </si>
  <si>
    <t>Given pressure at point 1 =</t>
  </si>
  <si>
    <t>Desired pressure at point 2 =</t>
  </si>
  <si>
    <t>Actual pressure at point 2 =</t>
  </si>
  <si>
    <r>
      <t>(Actual p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 should be &gt; </t>
    </r>
    <r>
      <rPr>
        <b/>
        <i/>
        <sz val="10"/>
        <rFont val="Arial"/>
        <family val="0"/>
      </rPr>
      <t>desired pressure)</t>
    </r>
  </si>
  <si>
    <r>
      <t>Pipe Friction: K</t>
    </r>
    <r>
      <rPr>
        <i/>
        <vertAlign val="subscript"/>
        <sz val="10"/>
        <rFont val="Arial"/>
        <family val="2"/>
      </rPr>
      <t>1</t>
    </r>
    <r>
      <rPr>
        <i/>
        <sz val="10"/>
        <rFont val="Arial"/>
        <family val="0"/>
      </rPr>
      <t xml:space="preserve"> = f(L/D)</t>
    </r>
    <r>
      <rPr>
        <i/>
        <sz val="10"/>
        <rFont val="Arial"/>
        <family val="2"/>
      </rPr>
      <t xml:space="preserve"> =</t>
    </r>
  </si>
  <si>
    <r>
      <t xml:space="preserve">   III-A &amp; III-B US:    </t>
    </r>
    <r>
      <rPr>
        <b/>
        <sz val="10"/>
        <rFont val="Arial"/>
        <family val="0"/>
      </rPr>
      <t>CLASS III SERIES SYSTEMS</t>
    </r>
  </si>
  <si>
    <r>
      <t xml:space="preserve">Method III-A: </t>
    </r>
    <r>
      <rPr>
        <i/>
        <sz val="10"/>
        <rFont val="Arial"/>
        <family val="0"/>
      </rPr>
      <t xml:space="preserve">Uses Equation 11-8 to compute the </t>
    </r>
  </si>
  <si>
    <t>Example Problem 11.6</t>
  </si>
  <si>
    <r>
      <t xml:space="preserve">System Data: </t>
    </r>
    <r>
      <rPr>
        <b/>
        <sz val="10"/>
        <rFont val="Arial"/>
        <family val="0"/>
      </rPr>
      <t xml:space="preserve"> SI Metric Units</t>
    </r>
  </si>
  <si>
    <r>
      <t>lb/ft</t>
    </r>
    <r>
      <rPr>
        <vertAlign val="superscript"/>
        <sz val="10"/>
        <rFont val="Arial"/>
        <family val="2"/>
      </rPr>
      <t>3</t>
    </r>
  </si>
  <si>
    <r>
      <t>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</t>
    </r>
  </si>
  <si>
    <t>Intermediate Results in Eq. 11-8:</t>
  </si>
  <si>
    <r>
      <t>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</t>
    </r>
  </si>
  <si>
    <t xml:space="preserve">  4-inch Schedule 40 steel pipe</t>
  </si>
  <si>
    <t>(Compare actual with desired pressure at point 2)</t>
  </si>
  <si>
    <r>
      <t>Two long rad. elbows: K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=</t>
    </r>
  </si>
  <si>
    <r>
      <t xml:space="preserve">System Curve US:       </t>
    </r>
    <r>
      <rPr>
        <b/>
        <sz val="10"/>
        <rFont val="Arial"/>
        <family val="0"/>
      </rPr>
      <t>CLASS I SERIES SYSTEMS</t>
    </r>
  </si>
  <si>
    <r>
      <t>Objective:</t>
    </r>
    <r>
      <rPr>
        <b/>
        <i/>
        <sz val="10"/>
        <rFont val="Arial"/>
        <family val="0"/>
      </rPr>
      <t xml:space="preserve"> System Curve</t>
    </r>
  </si>
  <si>
    <t>Ex. Problem 13.1</t>
  </si>
  <si>
    <t>Surface of lower reservoir</t>
  </si>
  <si>
    <t>Fig. 13.33</t>
  </si>
  <si>
    <t>Surface of upper reservoir</t>
  </si>
  <si>
    <t>Pipe 1:  3 1/2-in Schedule 40 steel pipe</t>
  </si>
  <si>
    <r>
      <t>ft</t>
    </r>
    <r>
      <rPr>
        <vertAlign val="superscript"/>
        <sz val="10"/>
        <rFont val="Arial"/>
        <family val="2"/>
      </rPr>
      <t xml:space="preserve">2  </t>
    </r>
    <r>
      <rPr>
        <sz val="10"/>
        <rFont val="Arial"/>
        <family val="2"/>
      </rPr>
      <t xml:space="preserve">  [A = </t>
    </r>
    <r>
      <rPr>
        <sz val="10"/>
        <rFont val="Symbol"/>
        <family val="1"/>
      </rPr>
      <t>p</t>
    </r>
    <r>
      <rPr>
        <sz val="10"/>
        <rFont val="Arial"/>
        <family val="2"/>
      </rPr>
      <t>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/4]</t>
    </r>
  </si>
  <si>
    <t xml:space="preserve">   Rel. roughness</t>
  </si>
  <si>
    <r>
      <t>ft/s  [</t>
    </r>
    <r>
      <rPr>
        <i/>
        <sz val="10"/>
        <rFont val="Arial"/>
        <family val="0"/>
      </rPr>
      <t>v = Q/A</t>
    </r>
    <r>
      <rPr>
        <sz val="10"/>
        <rFont val="Arial"/>
        <family val="0"/>
      </rPr>
      <t>]</t>
    </r>
  </si>
  <si>
    <r>
      <t>ft      [</t>
    </r>
    <r>
      <rPr>
        <i/>
        <sz val="10"/>
        <rFont val="Arial"/>
        <family val="0"/>
      </rPr>
      <t>v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0"/>
      </rPr>
      <t>/2g</t>
    </r>
    <r>
      <rPr>
        <sz val="10"/>
        <rFont val="Arial"/>
        <family val="0"/>
      </rPr>
      <t>]</t>
    </r>
  </si>
  <si>
    <r>
      <t xml:space="preserve">       </t>
    </r>
    <r>
      <rPr>
        <sz val="10"/>
        <rFont val="Arial"/>
        <family val="2"/>
      </rPr>
      <t>[</t>
    </r>
    <r>
      <rPr>
        <i/>
        <sz val="10"/>
        <rFont val="Arial"/>
        <family val="0"/>
      </rPr>
      <t>N</t>
    </r>
    <r>
      <rPr>
        <i/>
        <vertAlign val="subscript"/>
        <sz val="10"/>
        <rFont val="Arial"/>
        <family val="2"/>
      </rPr>
      <t>R</t>
    </r>
    <r>
      <rPr>
        <i/>
        <sz val="10"/>
        <rFont val="Arial"/>
        <family val="2"/>
      </rPr>
      <t xml:space="preserve"> = vD/</t>
    </r>
    <r>
      <rPr>
        <sz val="10"/>
        <rFont val="Symbol"/>
        <family val="1"/>
      </rPr>
      <t>n]</t>
    </r>
  </si>
  <si>
    <r>
      <t xml:space="preserve">Total </t>
    </r>
    <r>
      <rPr>
        <i/>
        <sz val="10"/>
        <rFont val="Arial"/>
        <family val="0"/>
      </rPr>
      <t>K</t>
    </r>
  </si>
  <si>
    <r>
      <t>Entrance: K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=</t>
    </r>
  </si>
  <si>
    <r>
      <t>Gate Valve: K</t>
    </r>
    <r>
      <rPr>
        <i/>
        <vertAlign val="subscript"/>
        <sz val="10"/>
        <rFont val="Arial"/>
        <family val="2"/>
      </rPr>
      <t>3</t>
    </r>
    <r>
      <rPr>
        <i/>
        <sz val="10"/>
        <rFont val="Arial"/>
        <family val="2"/>
      </rPr>
      <t xml:space="preserve"> =</t>
    </r>
  </si>
  <si>
    <r>
      <t>Check Valve: K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=</t>
    </r>
  </si>
  <si>
    <r>
      <t>Butterfly Valve: K</t>
    </r>
    <r>
      <rPr>
        <i/>
        <vertAlign val="subscript"/>
        <sz val="10"/>
        <rFont val="Arial"/>
        <family val="2"/>
      </rPr>
      <t>3</t>
    </r>
    <r>
      <rPr>
        <i/>
        <sz val="10"/>
        <rFont val="Arial"/>
        <family val="2"/>
      </rPr>
      <t xml:space="preserve"> =</t>
    </r>
  </si>
  <si>
    <r>
      <t>Standard Elbow: K</t>
    </r>
    <r>
      <rPr>
        <i/>
        <vertAlign val="subscript"/>
        <sz val="10"/>
        <rFont val="Arial"/>
        <family val="2"/>
      </rPr>
      <t>4</t>
    </r>
    <r>
      <rPr>
        <i/>
        <sz val="10"/>
        <rFont val="Arial"/>
        <family val="2"/>
      </rPr>
      <t xml:space="preserve"> =</t>
    </r>
  </si>
  <si>
    <r>
      <t>Exit Loss: K</t>
    </r>
    <r>
      <rPr>
        <i/>
        <vertAlign val="subscript"/>
        <sz val="10"/>
        <rFont val="Arial"/>
        <family val="2"/>
      </rPr>
      <t>5</t>
    </r>
    <r>
      <rPr>
        <i/>
        <sz val="10"/>
        <rFont val="Arial"/>
        <family val="2"/>
      </rPr>
      <t xml:space="preserve"> =</t>
    </r>
  </si>
  <si>
    <t xml:space="preserve">    Results:</t>
  </si>
  <si>
    <t>Figure 13.34   Total head on the pump at the desired operating point for Example Problem 13.1</t>
  </si>
  <si>
    <t>SYSTEM CURVE</t>
  </si>
  <si>
    <t>PUMP CURVE:  2X3-10 PUMP WITH 9-IN IMPELLER</t>
  </si>
  <si>
    <r>
      <t xml:space="preserve">Q </t>
    </r>
    <r>
      <rPr>
        <sz val="10"/>
        <rFont val="Arial"/>
        <family val="0"/>
      </rPr>
      <t>(gpm)</t>
    </r>
  </si>
  <si>
    <r>
      <t>Q</t>
    </r>
    <r>
      <rPr>
        <sz val="10"/>
        <rFont val="Arial"/>
        <family val="0"/>
      </rPr>
      <t xml:space="preserve"> (cfs)</t>
    </r>
  </si>
  <si>
    <r>
      <t>h</t>
    </r>
    <r>
      <rPr>
        <i/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(ft)</t>
    </r>
  </si>
  <si>
    <r>
      <t>Q</t>
    </r>
    <r>
      <rPr>
        <sz val="10"/>
        <rFont val="Arial"/>
        <family val="0"/>
      </rPr>
      <t xml:space="preserve"> (gpm)</t>
    </r>
  </si>
  <si>
    <t>Total head (ft)</t>
  </si>
  <si>
    <t>Use consistent SI or U.S. Customary units</t>
  </si>
  <si>
    <t>Water at 75 deg C</t>
  </si>
  <si>
    <t>Kinematic Viscosity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</si>
  <si>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 or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</si>
  <si>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 or 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</t>
    </r>
  </si>
  <si>
    <t>Pipe Data:</t>
  </si>
  <si>
    <t>1/2 in Type K Copper</t>
  </si>
  <si>
    <t>m or ft</t>
  </si>
  <si>
    <t>Pipe diameter =</t>
  </si>
  <si>
    <r>
      <t>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or ft</t>
    </r>
    <r>
      <rPr>
        <vertAlign val="superscript"/>
        <sz val="10"/>
        <rFont val="Arial"/>
        <family val="2"/>
      </rPr>
      <t>2</t>
    </r>
  </si>
  <si>
    <t>m/s or ft/s</t>
  </si>
  <si>
    <r>
      <t xml:space="preserve">Friction factor: </t>
    </r>
    <r>
      <rPr>
        <b/>
        <i/>
        <sz val="10"/>
        <rFont val="Arial"/>
        <family val="0"/>
      </rPr>
      <t>f</t>
    </r>
    <r>
      <rPr>
        <b/>
        <sz val="10"/>
        <rFont val="Arial"/>
        <family val="0"/>
      </rPr>
      <t xml:space="preserve"> =</t>
    </r>
  </si>
  <si>
    <t>In pipe at Point A</t>
  </si>
  <si>
    <r>
      <t>Return Bends: K</t>
    </r>
    <r>
      <rPr>
        <i/>
        <vertAlign val="subscript"/>
        <sz val="10"/>
        <rFont val="Arial"/>
        <family val="2"/>
      </rPr>
      <t>4</t>
    </r>
    <r>
      <rPr>
        <i/>
        <sz val="10"/>
        <rFont val="Arial"/>
        <family val="2"/>
      </rPr>
      <t xml:space="preserve"> =</t>
    </r>
  </si>
  <si>
    <t>Problem 11.7 - Mott</t>
  </si>
  <si>
    <t>Uses Equation 11-3 to find maximum allowable volume flow rate</t>
  </si>
  <si>
    <t>Friction factor curves</t>
  </si>
  <si>
    <r>
      <t>D/</t>
    </r>
    <r>
      <rPr>
        <sz val="10"/>
        <rFont val="Symbol"/>
        <family val="1"/>
      </rPr>
      <t>e</t>
    </r>
  </si>
  <si>
    <t>Reynolds number</t>
  </si>
  <si>
    <t>Friction factor</t>
  </si>
  <si>
    <t xml:space="preserve">f </t>
  </si>
  <si>
    <r>
      <t>May need to compute</t>
    </r>
    <r>
      <rPr>
        <sz val="10"/>
        <rFont val="Symbol"/>
        <family val="1"/>
      </rPr>
      <t>:  n = h/r</t>
    </r>
  </si>
  <si>
    <t>m    [See Table 8.2]</t>
  </si>
  <si>
    <t>Using Eq. 8-7</t>
  </si>
  <si>
    <r>
      <t xml:space="preserve">May need to compute:  </t>
    </r>
    <r>
      <rPr>
        <sz val="10"/>
        <rFont val="Symbol"/>
        <family val="1"/>
      </rPr>
      <t>n = h/r</t>
    </r>
  </si>
  <si>
    <t>ft    [See Table 8.2]</t>
  </si>
  <si>
    <t>m   See Table 8.2</t>
  </si>
  <si>
    <t xml:space="preserve"> Using Eq. 8-7</t>
  </si>
  <si>
    <t>ft   See Table 8.2</t>
  </si>
  <si>
    <r>
      <t>May need to compute:</t>
    </r>
    <r>
      <rPr>
        <sz val="10"/>
        <rFont val="Symbol"/>
        <family val="1"/>
      </rPr>
      <t xml:space="preserve"> n = h/r</t>
    </r>
  </si>
  <si>
    <r>
      <t xml:space="preserve">May need to compute: </t>
    </r>
    <r>
      <rPr>
        <sz val="10"/>
        <rFont val="Symbol"/>
        <family val="1"/>
      </rPr>
      <t>n = h/r</t>
    </r>
  </si>
  <si>
    <t>ft  [See Table 8.2]</t>
  </si>
  <si>
    <t>Friction Factor Calculation using Swamee-Jain Equation 8-7</t>
  </si>
  <si>
    <t>Problem 8.28: Friction factor only; SI data</t>
  </si>
  <si>
    <r>
      <t>Globe Valve: K</t>
    </r>
    <r>
      <rPr>
        <i/>
        <vertAlign val="subscript"/>
        <sz val="10"/>
        <rFont val="Arial"/>
        <family val="2"/>
      </rPr>
      <t>3</t>
    </r>
    <r>
      <rPr>
        <i/>
        <sz val="10"/>
        <rFont val="Arial"/>
        <family val="2"/>
      </rPr>
      <t xml:space="preserve"> =</t>
    </r>
  </si>
  <si>
    <t>Change in pressure A to B:</t>
  </si>
  <si>
    <t>Refrigerant-Given</t>
  </si>
  <si>
    <t>Pressure at point 2 is computed for illustration of effect of pressure drop.</t>
  </si>
  <si>
    <r>
      <t>*</t>
    </r>
    <r>
      <rPr>
        <i/>
        <sz val="10"/>
        <rFont val="Arial"/>
        <family val="0"/>
      </rPr>
      <t>Pressure at point 1 =</t>
    </r>
  </si>
  <si>
    <r>
      <t>*</t>
    </r>
    <r>
      <rPr>
        <i/>
        <sz val="10"/>
        <rFont val="Arial"/>
        <family val="0"/>
      </rPr>
      <t>Pressure at point 2 =</t>
    </r>
  </si>
  <si>
    <r>
      <t>*</t>
    </r>
    <r>
      <rPr>
        <b/>
        <i/>
        <sz val="10"/>
        <rFont val="Arial"/>
        <family val="2"/>
      </rPr>
      <t xml:space="preserve">NOTE: Pressure at point 1 set arbitrarily to 100 kPa. </t>
    </r>
  </si>
  <si>
    <t>Fig. 11.19</t>
  </si>
  <si>
    <t>Pipe 1: 15 mm OD x 1.5 mm steel tube</t>
  </si>
  <si>
    <r>
      <t>m   (f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0.0122)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</si>
</sst>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E+00"/>
    <numFmt numFmtId="170" formatCode="0.000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i/>
      <vertAlign val="subscript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i/>
      <vertAlign val="subscript"/>
      <sz val="10"/>
      <name val="Arial"/>
      <family val="2"/>
    </font>
    <font>
      <sz val="8"/>
      <name val="Arial"/>
      <family val="2"/>
    </font>
    <font>
      <i/>
      <sz val="10"/>
      <name val="Symbol"/>
      <family val="1"/>
    </font>
    <font>
      <b/>
      <i/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Border="1" applyAlignment="1">
      <alignment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1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0" fillId="0" borderId="14" xfId="0" applyBorder="1" applyAlignment="1">
      <alignment horizontal="right"/>
    </xf>
    <xf numFmtId="1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2" fillId="0" borderId="14" xfId="0" applyFont="1" applyBorder="1" applyAlignment="1">
      <alignment horizontal="right"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1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11" fontId="2" fillId="33" borderId="16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0" fillId="0" borderId="15" xfId="0" applyBorder="1" applyAlignment="1">
      <alignment horizontal="right"/>
    </xf>
    <xf numFmtId="164" fontId="0" fillId="0" borderId="16" xfId="0" applyNumberFormat="1" applyBorder="1" applyAlignment="1">
      <alignment/>
    </xf>
    <xf numFmtId="11" fontId="2" fillId="33" borderId="11" xfId="0" applyNumberFormat="1" applyFont="1" applyFill="1" applyBorder="1" applyAlignment="1">
      <alignment/>
    </xf>
    <xf numFmtId="0" fontId="2" fillId="0" borderId="15" xfId="0" applyFont="1" applyBorder="1" applyAlignment="1">
      <alignment horizontal="right"/>
    </xf>
    <xf numFmtId="2" fontId="2" fillId="33" borderId="16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20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left"/>
    </xf>
    <xf numFmtId="0" fontId="2" fillId="0" borderId="13" xfId="0" applyFont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167" fontId="0" fillId="0" borderId="0" xfId="0" applyNumberForma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" fillId="0" borderId="14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33" borderId="12" xfId="0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2" fontId="2" fillId="0" borderId="20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2" fillId="0" borderId="20" xfId="0" applyFont="1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0" fillId="0" borderId="0" xfId="0" applyNumberFormat="1" applyBorder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2" fillId="0" borderId="14" xfId="0" applyFont="1" applyBorder="1" applyAlignment="1">
      <alignment/>
    </xf>
    <xf numFmtId="0" fontId="0" fillId="0" borderId="19" xfId="0" applyBorder="1" applyAlignment="1">
      <alignment horizontal="centerContinuous"/>
    </xf>
    <xf numFmtId="0" fontId="3" fillId="0" borderId="14" xfId="0" applyFont="1" applyBorder="1" applyAlignment="1">
      <alignment horizontal="right"/>
    </xf>
    <xf numFmtId="0" fontId="0" fillId="0" borderId="18" xfId="0" applyBorder="1" applyAlignment="1">
      <alignment horizontal="right"/>
    </xf>
    <xf numFmtId="2" fontId="0" fillId="0" borderId="20" xfId="0" applyNumberFormat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8" xfId="0" applyFont="1" applyFill="1" applyBorder="1" applyAlignment="1">
      <alignment horizontal="centerContinuous"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2" fillId="0" borderId="13" xfId="0" applyFont="1" applyBorder="1" applyAlignment="1">
      <alignment/>
    </xf>
    <xf numFmtId="0" fontId="0" fillId="33" borderId="13" xfId="0" applyFill="1" applyBorder="1" applyAlignment="1">
      <alignment horizontal="left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33" borderId="12" xfId="0" applyFont="1" applyFill="1" applyBorder="1" applyAlignment="1">
      <alignment/>
    </xf>
    <xf numFmtId="168" fontId="0" fillId="0" borderId="0" xfId="0" applyNumberForma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0" xfId="0" applyFill="1" applyBorder="1" applyAlignment="1">
      <alignment horizontal="right"/>
    </xf>
    <xf numFmtId="0" fontId="0" fillId="0" borderId="13" xfId="0" applyFill="1" applyBorder="1" applyAlignment="1">
      <alignment horizontal="left"/>
    </xf>
    <xf numFmtId="2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8" xfId="0" applyBorder="1" applyAlignment="1">
      <alignment/>
    </xf>
    <xf numFmtId="0" fontId="3" fillId="0" borderId="20" xfId="0" applyFont="1" applyBorder="1" applyAlignment="1">
      <alignment horizontal="right"/>
    </xf>
    <xf numFmtId="2" fontId="1" fillId="0" borderId="20" xfId="0" applyNumberFormat="1" applyFont="1" applyBorder="1" applyAlignment="1">
      <alignment/>
    </xf>
    <xf numFmtId="0" fontId="2" fillId="33" borderId="0" xfId="0" applyFont="1" applyFill="1" applyAlignment="1">
      <alignment horizontal="left"/>
    </xf>
    <xf numFmtId="0" fontId="3" fillId="33" borderId="10" xfId="0" applyFont="1" applyFill="1" applyBorder="1" applyAlignment="1">
      <alignment/>
    </xf>
    <xf numFmtId="0" fontId="0" fillId="33" borderId="14" xfId="0" applyFill="1" applyBorder="1" applyAlignment="1">
      <alignment horizontal="right"/>
    </xf>
    <xf numFmtId="2" fontId="0" fillId="33" borderId="0" xfId="0" applyNumberForma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65" fontId="0" fillId="0" borderId="16" xfId="0" applyNumberForma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horizontal="centerContinuous"/>
    </xf>
    <xf numFmtId="0" fontId="1" fillId="0" borderId="14" xfId="0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3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right"/>
    </xf>
    <xf numFmtId="166" fontId="0" fillId="0" borderId="11" xfId="0" applyNumberFormat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20" xfId="0" applyFont="1" applyBorder="1" applyAlignment="1">
      <alignment horizontal="centerContinuous"/>
    </xf>
    <xf numFmtId="165" fontId="2" fillId="33" borderId="0" xfId="0" applyNumberFormat="1" applyFont="1" applyFill="1" applyBorder="1" applyAlignment="1">
      <alignment/>
    </xf>
    <xf numFmtId="165" fontId="2" fillId="33" borderId="16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0" fillId="0" borderId="20" xfId="0" applyBorder="1" applyAlignment="1">
      <alignment horizontal="right"/>
    </xf>
    <xf numFmtId="166" fontId="0" fillId="0" borderId="20" xfId="0" applyNumberFormat="1" applyBorder="1" applyAlignment="1">
      <alignment/>
    </xf>
    <xf numFmtId="164" fontId="2" fillId="33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0" xfId="0" applyNumberFormat="1" applyFont="1" applyBorder="1" applyAlignment="1">
      <alignment/>
    </xf>
    <xf numFmtId="0" fontId="0" fillId="33" borderId="17" xfId="0" applyFont="1" applyFill="1" applyBorder="1" applyAlignment="1">
      <alignment/>
    </xf>
    <xf numFmtId="0" fontId="1" fillId="0" borderId="18" xfId="0" applyFont="1" applyBorder="1" applyAlignment="1">
      <alignment horizontal="right"/>
    </xf>
    <xf numFmtId="164" fontId="1" fillId="0" borderId="20" xfId="0" applyNumberFormat="1" applyFont="1" applyBorder="1" applyAlignment="1">
      <alignment/>
    </xf>
    <xf numFmtId="0" fontId="2" fillId="0" borderId="14" xfId="0" applyFont="1" applyBorder="1" applyAlignment="1">
      <alignment horizontal="centerContinuous"/>
    </xf>
    <xf numFmtId="0" fontId="2" fillId="33" borderId="18" xfId="0" applyFont="1" applyFill="1" applyBorder="1" applyAlignment="1">
      <alignment horizontal="right"/>
    </xf>
    <xf numFmtId="11" fontId="2" fillId="33" borderId="20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4" xfId="0" applyFont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1" fillId="33" borderId="15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Border="1" applyAlignment="1">
      <alignment horizontal="left"/>
    </xf>
    <xf numFmtId="0" fontId="3" fillId="0" borderId="18" xfId="0" applyFont="1" applyBorder="1" applyAlignment="1">
      <alignment horizontal="centerContinuous"/>
    </xf>
    <xf numFmtId="0" fontId="3" fillId="0" borderId="18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2" fontId="0" fillId="0" borderId="20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164" fontId="0" fillId="0" borderId="20" xfId="0" applyNumberFormat="1" applyBorder="1" applyAlignment="1">
      <alignment/>
    </xf>
    <xf numFmtId="168" fontId="0" fillId="0" borderId="16" xfId="0" applyNumberFormat="1" applyFont="1" applyFill="1" applyBorder="1" applyAlignment="1">
      <alignment/>
    </xf>
    <xf numFmtId="11" fontId="0" fillId="0" borderId="0" xfId="0" applyNumberFormat="1" applyAlignment="1">
      <alignment/>
    </xf>
    <xf numFmtId="164" fontId="1" fillId="0" borderId="0" xfId="0" applyNumberFormat="1" applyFont="1" applyBorder="1" applyAlignment="1">
      <alignment/>
    </xf>
    <xf numFmtId="11" fontId="0" fillId="0" borderId="21" xfId="0" applyNumberFormat="1" applyBorder="1" applyAlignment="1">
      <alignment/>
    </xf>
    <xf numFmtId="164" fontId="1" fillId="0" borderId="21" xfId="0" applyNumberFormat="1" applyFont="1" applyBorder="1" applyAlignment="1">
      <alignment/>
    </xf>
    <xf numFmtId="0" fontId="2" fillId="0" borderId="0" xfId="0" applyFont="1" applyFill="1" applyAlignment="1">
      <alignment horizontal="left"/>
    </xf>
    <xf numFmtId="2" fontId="0" fillId="0" borderId="0" xfId="0" applyNumberFormat="1" applyFill="1" applyAlignment="1">
      <alignment horizontal="right"/>
    </xf>
    <xf numFmtId="0" fontId="3" fillId="0" borderId="0" xfId="0" applyFont="1" applyAlignment="1">
      <alignment/>
    </xf>
    <xf numFmtId="0" fontId="5" fillId="33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0" fillId="34" borderId="11" xfId="0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0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13.36   Operating Point for Example Problem 13.1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1925"/>
          <c:w val="0.77375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'System Curve-US'!$F$48</c:f>
              <c:strCache>
                <c:ptCount val="1"/>
                <c:pt idx="0">
                  <c:v>Total head (ft)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'System Curve-US'!$E$49:$E$63</c:f>
              <c:numCache/>
            </c:numRef>
          </c:cat>
          <c:val>
            <c:numRef>
              <c:f>'System Curve-US'!$F$49:$F$63</c:f>
              <c:numCache/>
            </c:numRef>
          </c:val>
          <c:smooth val="0"/>
        </c:ser>
        <c:ser>
          <c:idx val="1"/>
          <c:order val="1"/>
          <c:tx>
            <c:strRef>
              <c:f>'System Curve-US'!$C$48</c:f>
              <c:strCache>
                <c:ptCount val="1"/>
                <c:pt idx="0">
                  <c:v>ha (ft)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'System Curve-US'!$E$49:$E$63</c:f>
              <c:numCache/>
            </c:numRef>
          </c:cat>
          <c:val>
            <c:numRef>
              <c:f>'System Curve-US'!$C$49:$C$60</c:f>
              <c:numCache/>
            </c:numRef>
          </c:val>
          <c:smooth val="0"/>
        </c:ser>
        <c:marker val="1"/>
        <c:axId val="59137621"/>
        <c:axId val="62476542"/>
      </c:lineChart>
      <c:catAx>
        <c:axId val="59137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Capacity (gal/min)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76542"/>
        <c:crosses val="autoZero"/>
        <c:auto val="0"/>
        <c:lblOffset val="100"/>
        <c:tickLblSkip val="1"/>
        <c:noMultiLvlLbl val="0"/>
      </c:catAx>
      <c:valAx>
        <c:axId val="62476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head (ft)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3762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63</xdr:row>
      <xdr:rowOff>114300</xdr:rowOff>
    </xdr:from>
    <xdr:to>
      <xdr:col>8</xdr:col>
      <xdr:colOff>495300</xdr:colOff>
      <xdr:row>88</xdr:row>
      <xdr:rowOff>66675</xdr:rowOff>
    </xdr:to>
    <xdr:graphicFrame>
      <xdr:nvGraphicFramePr>
        <xdr:cNvPr id="1" name="Chart 7"/>
        <xdr:cNvGraphicFramePr/>
      </xdr:nvGraphicFramePr>
      <xdr:xfrm>
        <a:off x="466725" y="11306175"/>
        <a:ext cx="66484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19.57421875" style="0" customWidth="1"/>
    <col min="2" max="2" width="8.7109375" style="0" customWidth="1"/>
    <col min="3" max="3" width="6.7109375" style="0" customWidth="1"/>
    <col min="4" max="4" width="18.7109375" style="0" customWidth="1"/>
    <col min="5" max="5" width="8.7109375" style="0" customWidth="1"/>
    <col min="6" max="6" width="24.7109375" style="0" customWidth="1"/>
    <col min="7" max="7" width="19.7109375" style="0" customWidth="1"/>
  </cols>
  <sheetData>
    <row r="1" spans="1:6" ht="13.5" thickBot="1">
      <c r="A1" s="35" t="s">
        <v>0</v>
      </c>
      <c r="B1" s="36"/>
      <c r="C1" s="196" t="s">
        <v>1</v>
      </c>
      <c r="D1" s="74"/>
      <c r="E1" s="74"/>
      <c r="F1" s="110"/>
    </row>
    <row r="2" spans="1:6" ht="13.5" thickBot="1">
      <c r="A2" s="1" t="s">
        <v>2</v>
      </c>
      <c r="B2" s="2"/>
      <c r="C2" s="41" t="s">
        <v>3</v>
      </c>
      <c r="D2" s="37"/>
      <c r="E2" s="37"/>
      <c r="F2" s="73"/>
    </row>
    <row r="3" spans="1:6" ht="12.75">
      <c r="A3" s="45" t="s">
        <v>4</v>
      </c>
      <c r="B3" s="46"/>
      <c r="C3" s="42" t="s">
        <v>5</v>
      </c>
      <c r="D3" s="7" t="s">
        <v>6</v>
      </c>
      <c r="E3" s="8"/>
      <c r="F3" s="26"/>
    </row>
    <row r="4" spans="1:6" ht="13.5" thickBot="1">
      <c r="A4" s="38" t="s">
        <v>7</v>
      </c>
      <c r="B4" s="39"/>
      <c r="C4" s="43" t="s">
        <v>8</v>
      </c>
      <c r="D4" s="40" t="s">
        <v>9</v>
      </c>
      <c r="E4" s="39"/>
      <c r="F4" s="44"/>
    </row>
    <row r="5" spans="1:6" ht="13.5" thickBot="1">
      <c r="A5" s="9" t="s">
        <v>10</v>
      </c>
      <c r="B5" s="5" t="s">
        <v>11</v>
      </c>
      <c r="C5" s="10"/>
      <c r="D5" s="10"/>
      <c r="E5" s="10"/>
      <c r="F5" s="6"/>
    </row>
    <row r="6" spans="1:6" ht="14.25">
      <c r="A6" s="47" t="s">
        <v>12</v>
      </c>
      <c r="B6" s="48">
        <v>0.015</v>
      </c>
      <c r="C6" s="49" t="s">
        <v>13</v>
      </c>
      <c r="D6" s="47" t="s">
        <v>14</v>
      </c>
      <c r="E6" s="169">
        <v>2</v>
      </c>
      <c r="F6" s="49" t="s">
        <v>15</v>
      </c>
    </row>
    <row r="7" spans="1:6" ht="13.5" thickBot="1">
      <c r="A7" s="11" t="s">
        <v>16</v>
      </c>
      <c r="B7" s="12">
        <v>0</v>
      </c>
      <c r="C7" s="50" t="s">
        <v>17</v>
      </c>
      <c r="D7" s="11" t="s">
        <v>18</v>
      </c>
      <c r="E7" s="24">
        <v>12</v>
      </c>
      <c r="F7" s="50" t="s">
        <v>15</v>
      </c>
    </row>
    <row r="8" spans="1:6" ht="12.75">
      <c r="A8" s="11" t="s">
        <v>19</v>
      </c>
      <c r="B8" s="12">
        <v>0</v>
      </c>
      <c r="C8" s="50" t="s">
        <v>17</v>
      </c>
      <c r="D8" s="48" t="s">
        <v>20</v>
      </c>
      <c r="E8" s="46"/>
      <c r="F8" s="93"/>
    </row>
    <row r="9" spans="1:6" ht="12.75">
      <c r="A9" s="11" t="s">
        <v>21</v>
      </c>
      <c r="B9" s="12">
        <v>0</v>
      </c>
      <c r="C9" s="50" t="s">
        <v>22</v>
      </c>
      <c r="D9" s="55" t="s">
        <v>23</v>
      </c>
      <c r="E9" s="14">
        <f>B9^2/(2*9.81)</f>
        <v>0</v>
      </c>
      <c r="F9" s="56" t="s">
        <v>15</v>
      </c>
    </row>
    <row r="10" spans="1:6" ht="13.5" thickBot="1">
      <c r="A10" s="51" t="s">
        <v>24</v>
      </c>
      <c r="B10" s="52">
        <v>0</v>
      </c>
      <c r="C10" s="53" t="s">
        <v>22</v>
      </c>
      <c r="D10" s="57" t="s">
        <v>25</v>
      </c>
      <c r="E10" s="58">
        <f>B10^2/(2*9.81)</f>
        <v>0</v>
      </c>
      <c r="F10" s="59" t="s">
        <v>15</v>
      </c>
    </row>
    <row r="11" spans="1:6" ht="12.75">
      <c r="A11" s="60" t="s">
        <v>26</v>
      </c>
      <c r="B11" s="3"/>
      <c r="C11" s="3"/>
      <c r="D11" s="6" t="s">
        <v>280</v>
      </c>
      <c r="E11" s="61"/>
      <c r="F11" s="62"/>
    </row>
    <row r="12" spans="1:6" ht="15" thickBot="1">
      <c r="A12" s="51" t="s">
        <v>27</v>
      </c>
      <c r="B12" s="52">
        <v>7.74</v>
      </c>
      <c r="C12" s="52" t="s">
        <v>28</v>
      </c>
      <c r="D12" s="63" t="s">
        <v>29</v>
      </c>
      <c r="E12" s="64">
        <v>7.098E-07</v>
      </c>
      <c r="F12" s="53" t="s">
        <v>30</v>
      </c>
    </row>
    <row r="13" spans="1:6" ht="12.75">
      <c r="A13" s="65" t="s">
        <v>31</v>
      </c>
      <c r="B13" s="48"/>
      <c r="C13" s="49"/>
      <c r="D13" s="65" t="s">
        <v>32</v>
      </c>
      <c r="E13" s="68"/>
      <c r="F13" s="49"/>
    </row>
    <row r="14" spans="1:6" ht="12.75">
      <c r="A14" s="11" t="s">
        <v>33</v>
      </c>
      <c r="B14" s="12">
        <v>0.1023</v>
      </c>
      <c r="C14" s="50" t="s">
        <v>15</v>
      </c>
      <c r="D14" s="11" t="s">
        <v>33</v>
      </c>
      <c r="E14" s="12">
        <v>0.0525</v>
      </c>
      <c r="F14" s="50" t="s">
        <v>15</v>
      </c>
    </row>
    <row r="15" spans="1:6" ht="12.75">
      <c r="A15" s="11" t="s">
        <v>34</v>
      </c>
      <c r="B15" s="15">
        <v>4.6E-05</v>
      </c>
      <c r="C15" s="50" t="s">
        <v>15</v>
      </c>
      <c r="D15" s="11" t="s">
        <v>34</v>
      </c>
      <c r="E15" s="15">
        <v>4.6E-05</v>
      </c>
      <c r="F15" s="50" t="s">
        <v>281</v>
      </c>
    </row>
    <row r="16" spans="1:6" ht="12.75">
      <c r="A16" s="11" t="s">
        <v>35</v>
      </c>
      <c r="B16" s="16">
        <v>15</v>
      </c>
      <c r="C16" s="50" t="s">
        <v>15</v>
      </c>
      <c r="D16" s="11" t="s">
        <v>35</v>
      </c>
      <c r="E16" s="16">
        <v>200</v>
      </c>
      <c r="F16" s="50" t="s">
        <v>15</v>
      </c>
    </row>
    <row r="17" spans="1:6" ht="14.25">
      <c r="A17" s="17" t="s">
        <v>36</v>
      </c>
      <c r="B17" s="18">
        <f>PI()*B14^2/4</f>
        <v>0.008219419545421682</v>
      </c>
      <c r="C17" s="6" t="s">
        <v>37</v>
      </c>
      <c r="D17" s="17" t="s">
        <v>36</v>
      </c>
      <c r="E17" s="18">
        <f>PI()*E14^2/4</f>
        <v>0.0021647536878642167</v>
      </c>
      <c r="F17" s="6" t="s">
        <v>38</v>
      </c>
    </row>
    <row r="18" spans="1:6" ht="12.75">
      <c r="A18" s="20" t="s">
        <v>39</v>
      </c>
      <c r="B18" s="21">
        <f>B14/B15</f>
        <v>2223.913043478261</v>
      </c>
      <c r="C18" s="6"/>
      <c r="D18" s="20" t="s">
        <v>39</v>
      </c>
      <c r="E18" s="21">
        <f>E14/E15</f>
        <v>1141.304347826087</v>
      </c>
      <c r="F18" s="76" t="s">
        <v>40</v>
      </c>
    </row>
    <row r="19" spans="1:6" ht="12.75">
      <c r="A19" s="20" t="s">
        <v>41</v>
      </c>
      <c r="B19" s="21">
        <f>B16/B14</f>
        <v>146.6275659824047</v>
      </c>
      <c r="C19" s="6"/>
      <c r="D19" s="20" t="s">
        <v>41</v>
      </c>
      <c r="E19" s="21">
        <f>E16/E14</f>
        <v>3809.5238095238096</v>
      </c>
      <c r="F19" s="6"/>
    </row>
    <row r="20" spans="1:6" ht="12.75">
      <c r="A20" s="17" t="s">
        <v>42</v>
      </c>
      <c r="B20" s="22">
        <f>B6/B17</f>
        <v>1.8249463866770474</v>
      </c>
      <c r="C20" s="6" t="s">
        <v>43</v>
      </c>
      <c r="D20" s="17" t="s">
        <v>42</v>
      </c>
      <c r="E20" s="22">
        <f>B6/E17</f>
        <v>6.929194801279797</v>
      </c>
      <c r="F20" s="6" t="s">
        <v>44</v>
      </c>
    </row>
    <row r="21" spans="1:6" ht="14.25">
      <c r="A21" s="17" t="s">
        <v>45</v>
      </c>
      <c r="B21" s="23">
        <f>B20^2/(2*9.81)</f>
        <v>0.16974665210222278</v>
      </c>
      <c r="C21" s="6" t="s">
        <v>15</v>
      </c>
      <c r="D21" s="17" t="s">
        <v>45</v>
      </c>
      <c r="E21" s="23">
        <f>E20^2/(2*9.81)</f>
        <v>2.44718351651799</v>
      </c>
      <c r="F21" s="6" t="s">
        <v>46</v>
      </c>
    </row>
    <row r="22" spans="1:6" ht="15.75">
      <c r="A22" s="17" t="s">
        <v>47</v>
      </c>
      <c r="B22" s="18">
        <f>B20*B14/E12</f>
        <v>263020.59081017465</v>
      </c>
      <c r="C22" s="6"/>
      <c r="D22" s="17" t="s">
        <v>47</v>
      </c>
      <c r="E22" s="18">
        <f>E20*E14/E12</f>
        <v>512514.4083786832</v>
      </c>
      <c r="F22" s="77" t="s">
        <v>48</v>
      </c>
    </row>
    <row r="23" spans="1:6" ht="13.5" thickBot="1">
      <c r="A23" s="66" t="s">
        <v>49</v>
      </c>
      <c r="B23" s="67">
        <f>0.25/(LOG10(1/(3.7*B18)+5.74/B22^0.9))^2</f>
        <v>0.018218863220537306</v>
      </c>
      <c r="C23" s="34"/>
      <c r="D23" s="66" t="s">
        <v>49</v>
      </c>
      <c r="E23" s="67">
        <f>0.25/(LOG10(1/(3.7*E18)+5.74/E22^0.9))^2</f>
        <v>0.01977983687195416</v>
      </c>
      <c r="F23" s="166" t="s">
        <v>282</v>
      </c>
    </row>
    <row r="24" spans="1:6" ht="12.75">
      <c r="A24" s="60" t="s">
        <v>50</v>
      </c>
      <c r="B24" s="198" t="s">
        <v>51</v>
      </c>
      <c r="C24" s="80" t="s">
        <v>52</v>
      </c>
      <c r="D24" s="3"/>
      <c r="E24" s="3"/>
      <c r="F24" s="4"/>
    </row>
    <row r="25" spans="1:6" ht="15.75">
      <c r="A25" s="20" t="s">
        <v>53</v>
      </c>
      <c r="B25" s="81">
        <f>B23*B19</f>
        <v>2.67138756899374</v>
      </c>
      <c r="C25" s="201">
        <v>1</v>
      </c>
      <c r="D25" s="19" t="s">
        <v>54</v>
      </c>
      <c r="E25" s="23">
        <f>B25*$B$21</f>
        <v>0.453459096304183</v>
      </c>
      <c r="F25" s="6" t="s">
        <v>55</v>
      </c>
    </row>
    <row r="26" spans="1:6" ht="15.75">
      <c r="A26" s="20" t="s">
        <v>56</v>
      </c>
      <c r="B26" s="24">
        <v>0.5</v>
      </c>
      <c r="C26" s="25">
        <v>1</v>
      </c>
      <c r="D26" s="19" t="s">
        <v>57</v>
      </c>
      <c r="E26" s="23">
        <f>B26*C26*$B$21</f>
        <v>0.08487332605111139</v>
      </c>
      <c r="F26" s="6" t="s">
        <v>58</v>
      </c>
    </row>
    <row r="27" spans="1:6" ht="15.75">
      <c r="A27" s="20" t="s">
        <v>59</v>
      </c>
      <c r="B27" s="24">
        <v>0</v>
      </c>
      <c r="C27" s="25">
        <v>1</v>
      </c>
      <c r="D27" s="19" t="s">
        <v>60</v>
      </c>
      <c r="E27" s="23">
        <f aca="true" t="shared" si="0" ref="E27:E32">B27*C27*$B$21</f>
        <v>0</v>
      </c>
      <c r="F27" s="6" t="s">
        <v>15</v>
      </c>
    </row>
    <row r="28" spans="1:6" ht="15.75">
      <c r="A28" s="20" t="s">
        <v>61</v>
      </c>
      <c r="B28" s="24">
        <v>0</v>
      </c>
      <c r="C28" s="25">
        <v>1</v>
      </c>
      <c r="D28" s="19" t="s">
        <v>62</v>
      </c>
      <c r="E28" s="23">
        <f t="shared" si="0"/>
        <v>0</v>
      </c>
      <c r="F28" s="6" t="s">
        <v>15</v>
      </c>
    </row>
    <row r="29" spans="1:6" ht="15.75">
      <c r="A29" s="20" t="s">
        <v>63</v>
      </c>
      <c r="B29" s="24">
        <v>0</v>
      </c>
      <c r="C29" s="25">
        <v>1</v>
      </c>
      <c r="D29" s="19" t="s">
        <v>64</v>
      </c>
      <c r="E29" s="23">
        <f t="shared" si="0"/>
        <v>0</v>
      </c>
      <c r="F29" s="6" t="s">
        <v>15</v>
      </c>
    </row>
    <row r="30" spans="1:6" ht="15.75">
      <c r="A30" s="20" t="s">
        <v>65</v>
      </c>
      <c r="B30" s="24">
        <v>0</v>
      </c>
      <c r="C30" s="25">
        <v>1</v>
      </c>
      <c r="D30" s="19" t="s">
        <v>66</v>
      </c>
      <c r="E30" s="23">
        <f t="shared" si="0"/>
        <v>0</v>
      </c>
      <c r="F30" s="6" t="s">
        <v>15</v>
      </c>
    </row>
    <row r="31" spans="1:6" ht="15.75">
      <c r="A31" s="20" t="s">
        <v>67</v>
      </c>
      <c r="B31" s="24">
        <v>0</v>
      </c>
      <c r="C31" s="25">
        <v>1</v>
      </c>
      <c r="D31" s="19" t="s">
        <v>68</v>
      </c>
      <c r="E31" s="23">
        <f t="shared" si="0"/>
        <v>0</v>
      </c>
      <c r="F31" s="6" t="s">
        <v>15</v>
      </c>
    </row>
    <row r="32" spans="1:6" ht="16.5" thickBot="1">
      <c r="A32" s="69" t="s">
        <v>69</v>
      </c>
      <c r="B32" s="70">
        <v>0</v>
      </c>
      <c r="C32" s="71">
        <v>1</v>
      </c>
      <c r="D32" s="19" t="s">
        <v>70</v>
      </c>
      <c r="E32" s="23">
        <f t="shared" si="0"/>
        <v>0</v>
      </c>
      <c r="F32" s="34" t="s">
        <v>15</v>
      </c>
    </row>
    <row r="33" spans="1:6" ht="12.75">
      <c r="A33" s="60" t="s">
        <v>71</v>
      </c>
      <c r="B33" s="198" t="s">
        <v>51</v>
      </c>
      <c r="C33" s="80" t="s">
        <v>52</v>
      </c>
      <c r="D33" s="3"/>
      <c r="E33" s="72"/>
      <c r="F33" s="4"/>
    </row>
    <row r="34" spans="1:6" ht="15.75">
      <c r="A34" s="20" t="s">
        <v>53</v>
      </c>
      <c r="B34" s="78">
        <f>E23*E19</f>
        <v>75.35175951220633</v>
      </c>
      <c r="C34" s="79">
        <v>1</v>
      </c>
      <c r="D34" s="19" t="s">
        <v>54</v>
      </c>
      <c r="E34" s="22">
        <f>B34*E21</f>
        <v>184.39958381889898</v>
      </c>
      <c r="F34" s="6" t="s">
        <v>72</v>
      </c>
    </row>
    <row r="35" spans="1:6" ht="15.75">
      <c r="A35" s="20" t="s">
        <v>73</v>
      </c>
      <c r="B35" s="24">
        <v>6.46</v>
      </c>
      <c r="C35" s="25">
        <v>1</v>
      </c>
      <c r="D35" s="19" t="s">
        <v>57</v>
      </c>
      <c r="E35" s="22">
        <f>B35*C35*$E$21</f>
        <v>15.808805516706215</v>
      </c>
      <c r="F35" s="6" t="s">
        <v>15</v>
      </c>
    </row>
    <row r="36" spans="1:6" ht="15.75">
      <c r="A36" s="20" t="s">
        <v>74</v>
      </c>
      <c r="B36" s="24">
        <v>0.57</v>
      </c>
      <c r="C36" s="25">
        <v>2</v>
      </c>
      <c r="D36" s="19" t="s">
        <v>60</v>
      </c>
      <c r="E36" s="22">
        <f aca="true" t="shared" si="1" ref="E36:E41">B36*C36*$E$21</f>
        <v>2.7897892088305083</v>
      </c>
      <c r="F36" s="6" t="s">
        <v>15</v>
      </c>
    </row>
    <row r="37" spans="1:6" ht="15.75">
      <c r="A37" s="20" t="s">
        <v>75</v>
      </c>
      <c r="B37" s="24">
        <v>1</v>
      </c>
      <c r="C37" s="25">
        <v>1</v>
      </c>
      <c r="D37" s="19" t="s">
        <v>62</v>
      </c>
      <c r="E37" s="22">
        <f t="shared" si="1"/>
        <v>2.44718351651799</v>
      </c>
      <c r="F37" s="6" t="s">
        <v>15</v>
      </c>
    </row>
    <row r="38" spans="1:6" ht="15.75">
      <c r="A38" s="20" t="s">
        <v>63</v>
      </c>
      <c r="B38" s="24">
        <v>0</v>
      </c>
      <c r="C38" s="25">
        <v>1</v>
      </c>
      <c r="D38" s="19" t="s">
        <v>64</v>
      </c>
      <c r="E38" s="22">
        <f t="shared" si="1"/>
        <v>0</v>
      </c>
      <c r="F38" s="6" t="s">
        <v>15</v>
      </c>
    </row>
    <row r="39" spans="1:6" ht="15.75">
      <c r="A39" s="20" t="s">
        <v>65</v>
      </c>
      <c r="B39" s="24">
        <v>0</v>
      </c>
      <c r="C39" s="25">
        <v>1</v>
      </c>
      <c r="D39" s="19" t="s">
        <v>66</v>
      </c>
      <c r="E39" s="22">
        <f t="shared" si="1"/>
        <v>0</v>
      </c>
      <c r="F39" s="6" t="s">
        <v>15</v>
      </c>
    </row>
    <row r="40" spans="1:6" ht="15.75">
      <c r="A40" s="20" t="s">
        <v>67</v>
      </c>
      <c r="B40" s="24">
        <v>0</v>
      </c>
      <c r="C40" s="25">
        <v>1</v>
      </c>
      <c r="D40" s="19" t="s">
        <v>68</v>
      </c>
      <c r="E40" s="22">
        <f t="shared" si="1"/>
        <v>0</v>
      </c>
      <c r="F40" s="6" t="s">
        <v>15</v>
      </c>
    </row>
    <row r="41" spans="1:6" ht="16.5" thickBot="1">
      <c r="A41" s="69" t="s">
        <v>69</v>
      </c>
      <c r="B41" s="70">
        <v>0</v>
      </c>
      <c r="C41" s="71">
        <v>1</v>
      </c>
      <c r="D41" s="19" t="s">
        <v>70</v>
      </c>
      <c r="E41" s="33">
        <f t="shared" si="1"/>
        <v>0</v>
      </c>
      <c r="F41" s="34" t="s">
        <v>15</v>
      </c>
    </row>
    <row r="42" spans="1:6" ht="16.5" thickBot="1">
      <c r="A42" s="27"/>
      <c r="C42" s="27"/>
      <c r="D42" s="112" t="s">
        <v>76</v>
      </c>
      <c r="E42" s="22">
        <f>SUM(E25:E41)</f>
        <v>205.98369448330897</v>
      </c>
      <c r="F42" s="6" t="s">
        <v>15</v>
      </c>
    </row>
    <row r="43" spans="1:6" ht="15.75">
      <c r="A43" s="27"/>
      <c r="B43" s="28" t="s">
        <v>77</v>
      </c>
      <c r="C43" s="54"/>
      <c r="D43" s="167" t="s">
        <v>78</v>
      </c>
      <c r="E43" s="168">
        <f>(B8-B7)/B12+(E7-E6)+(E10-E9)+E42</f>
        <v>215.98369448330897</v>
      </c>
      <c r="F43" s="4" t="s">
        <v>15</v>
      </c>
    </row>
    <row r="44" spans="1:6" ht="15.75">
      <c r="A44" s="27"/>
      <c r="B44" s="10"/>
      <c r="C44" s="27"/>
      <c r="D44" s="19" t="s">
        <v>79</v>
      </c>
      <c r="E44" s="22">
        <f>E43*B12*B6</f>
        <v>25.07570692951217</v>
      </c>
      <c r="F44" s="6" t="s">
        <v>80</v>
      </c>
    </row>
    <row r="45" spans="1:6" ht="12.75">
      <c r="A45" s="27"/>
      <c r="B45" s="10"/>
      <c r="C45" s="88"/>
      <c r="D45" s="13" t="s">
        <v>81</v>
      </c>
      <c r="E45" s="24">
        <v>76</v>
      </c>
      <c r="F45" s="50" t="s">
        <v>82</v>
      </c>
    </row>
    <row r="46" spans="1:6" ht="16.5" thickBot="1">
      <c r="A46" s="30"/>
      <c r="B46" s="31"/>
      <c r="C46" s="30"/>
      <c r="D46" s="32" t="s">
        <v>83</v>
      </c>
      <c r="E46" s="33">
        <f>E44/(E45/100)</f>
        <v>32.99435122304233</v>
      </c>
      <c r="F46" s="34" t="s">
        <v>80</v>
      </c>
    </row>
  </sheetData>
  <sheetProtection/>
  <printOptions/>
  <pageMargins left="0.75" right="0.75" top="1" bottom="0.75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0.140625" style="0" customWidth="1"/>
    <col min="2" max="2" width="10.28125" style="0" customWidth="1"/>
    <col min="3" max="3" width="14.8515625" style="0" customWidth="1"/>
    <col min="4" max="4" width="17.421875" style="0" hidden="1" customWidth="1"/>
    <col min="5" max="5" width="10.8515625" style="0" customWidth="1"/>
  </cols>
  <sheetData>
    <row r="1" spans="1:3" ht="12.75">
      <c r="A1" s="54"/>
      <c r="B1" s="3"/>
      <c r="C1" s="4"/>
    </row>
    <row r="2" spans="1:3" ht="13.5" thickBot="1">
      <c r="A2" s="132" t="s">
        <v>291</v>
      </c>
      <c r="B2" s="31"/>
      <c r="C2" s="34"/>
    </row>
    <row r="3" spans="1:3" ht="13.5" thickBot="1">
      <c r="A3" s="193" t="s">
        <v>292</v>
      </c>
      <c r="B3" s="39"/>
      <c r="C3" s="44"/>
    </row>
    <row r="4" spans="1:3" ht="12.75">
      <c r="A4" s="190" t="s">
        <v>259</v>
      </c>
      <c r="B4" s="155"/>
      <c r="C4" s="165"/>
    </row>
    <row r="5" spans="1:3" ht="13.5" thickBot="1">
      <c r="A5" s="185"/>
      <c r="B5" s="155"/>
      <c r="C5" s="165"/>
    </row>
    <row r="6" spans="1:4" ht="12.75">
      <c r="A6" s="189" t="s">
        <v>26</v>
      </c>
      <c r="B6" s="191" t="s">
        <v>260</v>
      </c>
      <c r="C6" s="192"/>
      <c r="D6" s="11" t="s">
        <v>27</v>
      </c>
    </row>
    <row r="7" spans="1:3" ht="15" thickBot="1">
      <c r="A7" s="51" t="s">
        <v>261</v>
      </c>
      <c r="B7" s="64">
        <v>2.4E-07</v>
      </c>
      <c r="C7" s="44" t="s">
        <v>262</v>
      </c>
    </row>
    <row r="8" spans="1:4" ht="16.5" thickBot="1">
      <c r="A8" s="136"/>
      <c r="B8" s="181"/>
      <c r="C8" s="6"/>
      <c r="D8" s="17" t="s">
        <v>199</v>
      </c>
    </row>
    <row r="9" spans="1:4" ht="15" thickBot="1">
      <c r="A9" s="186" t="s">
        <v>12</v>
      </c>
      <c r="B9" s="187">
        <v>0.05</v>
      </c>
      <c r="C9" s="188" t="s">
        <v>263</v>
      </c>
      <c r="D9" s="66" t="s">
        <v>201</v>
      </c>
    </row>
    <row r="10" spans="1:4" ht="12.75">
      <c r="A10" s="189" t="s">
        <v>264</v>
      </c>
      <c r="B10" s="48" t="s">
        <v>265</v>
      </c>
      <c r="C10" s="93"/>
      <c r="D10" s="129" t="s">
        <v>203</v>
      </c>
    </row>
    <row r="11" spans="1:4" ht="13.5" thickBot="1">
      <c r="A11" s="11" t="s">
        <v>204</v>
      </c>
      <c r="B11" s="15">
        <v>1.5E-06</v>
      </c>
      <c r="C11" s="26" t="s">
        <v>266</v>
      </c>
      <c r="D11" s="66" t="s">
        <v>205</v>
      </c>
    </row>
    <row r="12" spans="1:3" ht="13.5" thickBot="1">
      <c r="A12" s="51" t="s">
        <v>267</v>
      </c>
      <c r="B12" s="52">
        <v>0.01021</v>
      </c>
      <c r="C12" s="182" t="s">
        <v>266</v>
      </c>
    </row>
    <row r="13" spans="1:4" ht="12.75">
      <c r="A13" s="27"/>
      <c r="C13" s="6"/>
      <c r="D13" s="47" t="s">
        <v>207</v>
      </c>
    </row>
    <row r="14" spans="1:4" ht="15" thickBot="1">
      <c r="A14" s="17" t="s">
        <v>213</v>
      </c>
      <c r="B14" s="135">
        <f>PI()*B12^2/4</f>
        <v>8.187312468501994E-05</v>
      </c>
      <c r="C14" s="6" t="s">
        <v>268</v>
      </c>
      <c r="D14" s="125" t="s">
        <v>209</v>
      </c>
    </row>
    <row r="15" spans="1:4" ht="12.75">
      <c r="A15" s="136" t="s">
        <v>214</v>
      </c>
      <c r="B15" s="21">
        <f>B12/B11</f>
        <v>6806.666666666667</v>
      </c>
      <c r="C15" s="6"/>
      <c r="D15" s="154" t="s">
        <v>211</v>
      </c>
    </row>
    <row r="16" spans="1:4" ht="12.75">
      <c r="A16" s="20"/>
      <c r="B16" s="21"/>
      <c r="C16" s="6"/>
      <c r="D16" s="148" t="s">
        <v>21</v>
      </c>
    </row>
    <row r="17" spans="1:4" ht="12.75">
      <c r="A17" s="17" t="s">
        <v>42</v>
      </c>
      <c r="B17" s="22">
        <f>B9/B14</f>
        <v>610.7010107695125</v>
      </c>
      <c r="C17" s="6" t="s">
        <v>269</v>
      </c>
      <c r="D17" s="148" t="s">
        <v>24</v>
      </c>
    </row>
    <row r="18" spans="1:4" ht="12.75">
      <c r="A18" s="17"/>
      <c r="B18" s="23"/>
      <c r="C18" s="6"/>
      <c r="D18" s="17" t="s">
        <v>166</v>
      </c>
    </row>
    <row r="19" spans="1:4" ht="13.5" thickBot="1">
      <c r="A19" s="17" t="s">
        <v>47</v>
      </c>
      <c r="B19" s="18">
        <f>B17*B12/B7</f>
        <v>25980238.833153017</v>
      </c>
      <c r="C19" s="6"/>
      <c r="D19" s="66" t="s">
        <v>167</v>
      </c>
    </row>
    <row r="20" spans="1:4" ht="13.5" thickBot="1">
      <c r="A20" s="17"/>
      <c r="B20" s="18"/>
      <c r="C20" s="6"/>
      <c r="D20" s="17"/>
    </row>
    <row r="21" spans="1:4" ht="13.5" thickBot="1">
      <c r="A21" s="183" t="s">
        <v>270</v>
      </c>
      <c r="B21" s="184">
        <f>0.25/(LOG10(1/(3.7*B15)+5.74/B19^0.9))^2</f>
        <v>0.012983877417366004</v>
      </c>
      <c r="C21" s="85" t="s">
        <v>282</v>
      </c>
      <c r="D21" s="107" t="s">
        <v>77</v>
      </c>
    </row>
    <row r="22" ht="12.75">
      <c r="D22" s="101" t="s">
        <v>215</v>
      </c>
    </row>
    <row r="23" ht="12.75">
      <c r="D23" s="101" t="s">
        <v>216</v>
      </c>
    </row>
    <row r="24" ht="12.75">
      <c r="D24" s="111" t="s">
        <v>217</v>
      </c>
    </row>
    <row r="25" spans="1:4" ht="15" thickBot="1">
      <c r="A25" t="s">
        <v>275</v>
      </c>
      <c r="D25" s="150" t="s">
        <v>218</v>
      </c>
    </row>
    <row r="27" spans="1:6" ht="12.75">
      <c r="A27" s="170" t="s">
        <v>276</v>
      </c>
      <c r="B27">
        <v>30</v>
      </c>
      <c r="E27" s="170" t="s">
        <v>276</v>
      </c>
      <c r="F27">
        <v>40</v>
      </c>
    </row>
    <row r="28" spans="1:6" ht="12.75">
      <c r="A28" s="170"/>
      <c r="B28" t="s">
        <v>278</v>
      </c>
      <c r="E28" s="170"/>
      <c r="F28" t="s">
        <v>278</v>
      </c>
    </row>
    <row r="29" spans="1:6" ht="12.75">
      <c r="A29" s="170" t="s">
        <v>277</v>
      </c>
      <c r="B29" s="179" t="s">
        <v>279</v>
      </c>
      <c r="E29" s="170" t="s">
        <v>277</v>
      </c>
      <c r="F29" s="179" t="s">
        <v>279</v>
      </c>
    </row>
    <row r="31" spans="1:6" ht="12.75">
      <c r="A31" s="211">
        <v>4000</v>
      </c>
      <c r="B31" s="212">
        <f>0.25/(LOG10(1/(3.7*$B$27)+5.74/A31^0.9))^2</f>
        <v>0.06851685623943547</v>
      </c>
      <c r="E31" s="211">
        <v>4000</v>
      </c>
      <c r="F31" s="212">
        <f>0.25/(LOG10(1/(3.7*$F$27)+5.74/E31^0.9))^2</f>
        <v>0.06262397804816373</v>
      </c>
    </row>
    <row r="32" spans="1:6" ht="12.75">
      <c r="A32" s="211">
        <v>6000</v>
      </c>
      <c r="B32" s="212">
        <f aca="true" t="shared" si="0" ref="B32:B49">0.25/(LOG10(1/(3.7*$B$27)+5.74/A32^0.9))^2</f>
        <v>0.0659344438931976</v>
      </c>
      <c r="E32" s="211">
        <v>6000</v>
      </c>
      <c r="F32" s="212">
        <f aca="true" t="shared" si="1" ref="F32:F49">0.25/(LOG10(1/(3.7*$F$27)+5.74/E32^0.9))^2</f>
        <v>0.05984837103884024</v>
      </c>
    </row>
    <row r="33" spans="1:6" ht="12.75">
      <c r="A33" s="213">
        <v>10000</v>
      </c>
      <c r="B33" s="214">
        <f t="shared" si="0"/>
        <v>0.06371434249079273</v>
      </c>
      <c r="E33" s="213">
        <v>10000</v>
      </c>
      <c r="F33" s="214">
        <f t="shared" si="1"/>
        <v>0.05743843120428394</v>
      </c>
    </row>
    <row r="34" spans="1:6" ht="12.75">
      <c r="A34" s="211">
        <v>20000</v>
      </c>
      <c r="B34" s="212">
        <f t="shared" si="0"/>
        <v>0.061905073968649464</v>
      </c>
      <c r="E34" s="211">
        <v>20000</v>
      </c>
      <c r="F34" s="212">
        <f t="shared" si="1"/>
        <v>0.0554551944308565</v>
      </c>
    </row>
    <row r="35" spans="1:6" ht="12.75">
      <c r="A35" s="211">
        <v>40000</v>
      </c>
      <c r="B35" s="212">
        <f t="shared" si="0"/>
        <v>0.06091770072900738</v>
      </c>
      <c r="E35" s="211">
        <v>40000</v>
      </c>
      <c r="F35" s="212">
        <f t="shared" si="1"/>
        <v>0.05436452243347749</v>
      </c>
    </row>
    <row r="36" spans="1:6" ht="12.75">
      <c r="A36" s="211">
        <v>60000</v>
      </c>
      <c r="B36" s="212">
        <f t="shared" si="0"/>
        <v>0.06056594976846401</v>
      </c>
      <c r="E36" s="211">
        <v>60000</v>
      </c>
      <c r="F36" s="212">
        <f t="shared" si="1"/>
        <v>0.053974413146046646</v>
      </c>
    </row>
    <row r="37" spans="1:6" ht="12.75">
      <c r="A37" s="213">
        <v>100000</v>
      </c>
      <c r="B37" s="214">
        <f t="shared" si="0"/>
        <v>0.06027025824631961</v>
      </c>
      <c r="E37" s="213">
        <v>100000</v>
      </c>
      <c r="F37" s="214">
        <f t="shared" si="1"/>
        <v>0.053645812392275435</v>
      </c>
    </row>
    <row r="38" spans="1:6" ht="12.75">
      <c r="A38" s="211">
        <v>200000</v>
      </c>
      <c r="B38" s="212">
        <f t="shared" si="0"/>
        <v>0.060034256694905155</v>
      </c>
      <c r="E38" s="211">
        <v>200000</v>
      </c>
      <c r="F38" s="212">
        <f t="shared" si="1"/>
        <v>0.05338309796614957</v>
      </c>
    </row>
    <row r="39" spans="1:6" ht="12.75">
      <c r="A39" s="211">
        <v>400000</v>
      </c>
      <c r="B39" s="212">
        <f t="shared" si="0"/>
        <v>0.05990746201762132</v>
      </c>
      <c r="E39" s="211">
        <v>400000</v>
      </c>
      <c r="F39" s="212">
        <f t="shared" si="1"/>
        <v>0.05324178438931253</v>
      </c>
    </row>
    <row r="40" spans="1:6" ht="12.75">
      <c r="A40" s="211">
        <v>600000</v>
      </c>
      <c r="B40" s="212">
        <f t="shared" si="0"/>
        <v>0.0598626451604872</v>
      </c>
      <c r="E40" s="211">
        <v>600000</v>
      </c>
      <c r="F40" s="212">
        <f t="shared" si="1"/>
        <v>0.05319180740017241</v>
      </c>
    </row>
    <row r="41" spans="1:6" ht="12.75">
      <c r="A41" s="213">
        <v>1000000</v>
      </c>
      <c r="B41" s="214">
        <f t="shared" si="0"/>
        <v>0.05982511734602996</v>
      </c>
      <c r="E41" s="213">
        <v>1000000</v>
      </c>
      <c r="F41" s="214">
        <f t="shared" si="1"/>
        <v>0.053149947265996124</v>
      </c>
    </row>
    <row r="42" spans="1:6" ht="12.75">
      <c r="A42" s="211">
        <v>2000000</v>
      </c>
      <c r="B42" s="212">
        <f t="shared" si="0"/>
        <v>0.059795262088113754</v>
      </c>
      <c r="E42" s="211">
        <v>2000000</v>
      </c>
      <c r="F42" s="212">
        <f t="shared" si="1"/>
        <v>0.053116637961023054</v>
      </c>
    </row>
    <row r="43" spans="1:6" ht="12.75">
      <c r="A43" s="211">
        <v>4000000</v>
      </c>
      <c r="B43" s="212">
        <f t="shared" si="0"/>
        <v>0.05977925781159181</v>
      </c>
      <c r="E43" s="211">
        <v>4000000</v>
      </c>
      <c r="F43" s="212">
        <f t="shared" si="1"/>
        <v>0.05309877936826478</v>
      </c>
    </row>
    <row r="44" spans="1:6" ht="12.75">
      <c r="A44" s="211">
        <v>6000000</v>
      </c>
      <c r="B44" s="212">
        <f t="shared" si="0"/>
        <v>0.059773606955604436</v>
      </c>
      <c r="E44" s="211">
        <v>6000000</v>
      </c>
      <c r="F44" s="212">
        <f t="shared" si="1"/>
        <v>0.05309247332643151</v>
      </c>
    </row>
    <row r="45" spans="1:6" ht="12.75">
      <c r="A45" s="213">
        <v>10000000</v>
      </c>
      <c r="B45" s="214">
        <f t="shared" si="0"/>
        <v>0.059768877581805276</v>
      </c>
      <c r="E45" s="213">
        <v>10000000</v>
      </c>
      <c r="F45" s="214">
        <f t="shared" si="1"/>
        <v>0.05308719542443558</v>
      </c>
    </row>
    <row r="46" spans="1:6" ht="12.75">
      <c r="A46" s="211">
        <v>20000000</v>
      </c>
      <c r="B46" s="212">
        <f t="shared" si="0"/>
        <v>0.059765116707429934</v>
      </c>
      <c r="E46" s="211">
        <v>20000000</v>
      </c>
      <c r="F46" s="212">
        <f t="shared" si="1"/>
        <v>0.0530829982323948</v>
      </c>
    </row>
    <row r="47" spans="1:6" ht="12.75">
      <c r="A47" s="211">
        <v>40000000</v>
      </c>
      <c r="B47" s="212">
        <f t="shared" si="0"/>
        <v>0.05976310122151246</v>
      </c>
      <c r="E47" s="211">
        <v>40000000</v>
      </c>
      <c r="F47" s="212">
        <f t="shared" si="1"/>
        <v>0.05308074887650091</v>
      </c>
    </row>
    <row r="48" spans="1:6" ht="12.75">
      <c r="A48" s="211">
        <v>60000000</v>
      </c>
      <c r="B48" s="212">
        <f t="shared" si="0"/>
        <v>0.05976238968166002</v>
      </c>
      <c r="E48" s="211">
        <v>60000000</v>
      </c>
      <c r="F48" s="212">
        <f t="shared" si="1"/>
        <v>0.05307995476479186</v>
      </c>
    </row>
    <row r="49" spans="1:6" ht="12.75">
      <c r="A49" s="213">
        <v>100000000</v>
      </c>
      <c r="B49" s="214">
        <f t="shared" si="0"/>
        <v>0.059761794210863736</v>
      </c>
      <c r="E49" s="213">
        <v>100000000</v>
      </c>
      <c r="F49" s="214">
        <f t="shared" si="1"/>
        <v>0.05307929018866372</v>
      </c>
    </row>
    <row r="50" spans="1:6" ht="12.75">
      <c r="A50" s="18"/>
      <c r="B50" s="212"/>
      <c r="E50" s="18"/>
      <c r="F50" s="212"/>
    </row>
    <row r="51" spans="1:6" ht="12.75">
      <c r="A51" s="18"/>
      <c r="B51" s="212"/>
      <c r="E51" s="18"/>
      <c r="F51" s="212"/>
    </row>
    <row r="52" spans="1:6" ht="12.75">
      <c r="A52" s="170" t="s">
        <v>276</v>
      </c>
      <c r="B52">
        <v>60</v>
      </c>
      <c r="E52" s="170" t="s">
        <v>276</v>
      </c>
      <c r="F52">
        <v>80</v>
      </c>
    </row>
    <row r="53" spans="1:6" ht="12.75">
      <c r="A53" s="170"/>
      <c r="B53" t="s">
        <v>278</v>
      </c>
      <c r="E53" s="170"/>
      <c r="F53" t="s">
        <v>278</v>
      </c>
    </row>
    <row r="54" spans="1:6" ht="12.75">
      <c r="A54" s="170" t="s">
        <v>277</v>
      </c>
      <c r="B54" s="179" t="s">
        <v>279</v>
      </c>
      <c r="E54" s="170" t="s">
        <v>277</v>
      </c>
      <c r="F54" s="179" t="s">
        <v>279</v>
      </c>
    </row>
    <row r="56" spans="1:6" ht="12.75">
      <c r="A56" s="211">
        <v>4000</v>
      </c>
      <c r="B56" s="212">
        <f>0.25/(LOG10(1/(3.7*$B$52)+5.74/A56^0.9))^2</f>
        <v>0.05624548448255516</v>
      </c>
      <c r="E56" s="211">
        <v>4000</v>
      </c>
      <c r="F56" s="212">
        <f>0.25/(LOG10(1/(3.7*$F$52)+5.74/E56^0.9))^2</f>
        <v>0.052796256356593366</v>
      </c>
    </row>
    <row r="57" spans="1:6" ht="12.75">
      <c r="A57" s="211">
        <v>6000</v>
      </c>
      <c r="B57" s="212">
        <f aca="true" t="shared" si="2" ref="B57:B74">0.25/(LOG10(1/(3.7*$B$52)+5.74/A57^0.9))^2</f>
        <v>0.05317588666297852</v>
      </c>
      <c r="E57" s="211">
        <v>6000</v>
      </c>
      <c r="F57" s="212">
        <f aca="true" t="shared" si="3" ref="F57:F74">0.25/(LOG10(1/(3.7*$F$52)+5.74/E57^0.9))^2</f>
        <v>0.04951247918225123</v>
      </c>
    </row>
    <row r="58" spans="1:6" ht="12.75">
      <c r="A58" s="213">
        <v>10000</v>
      </c>
      <c r="B58" s="214">
        <f t="shared" si="2"/>
        <v>0.05046459366269149</v>
      </c>
      <c r="E58" s="213">
        <v>10000</v>
      </c>
      <c r="F58" s="214">
        <f t="shared" si="3"/>
        <v>0.04657065760761821</v>
      </c>
    </row>
    <row r="59" spans="1:6" ht="12.75">
      <c r="A59" s="211">
        <v>20000</v>
      </c>
      <c r="B59" s="212">
        <f t="shared" si="2"/>
        <v>0.04819313122067544</v>
      </c>
      <c r="E59" s="211">
        <v>20000</v>
      </c>
      <c r="F59" s="212">
        <f t="shared" si="3"/>
        <v>0.044066992773645085</v>
      </c>
    </row>
    <row r="60" spans="1:6" ht="12.75">
      <c r="A60" s="211">
        <v>40000</v>
      </c>
      <c r="B60" s="212">
        <f t="shared" si="2"/>
        <v>0.046925337449424495</v>
      </c>
      <c r="E60" s="211">
        <v>40000</v>
      </c>
      <c r="F60" s="212">
        <f t="shared" si="3"/>
        <v>0.04265019208457424</v>
      </c>
    </row>
    <row r="61" spans="1:6" ht="12.75">
      <c r="A61" s="211">
        <v>60000</v>
      </c>
      <c r="B61" s="212">
        <f t="shared" si="2"/>
        <v>0.0464682489954726</v>
      </c>
      <c r="E61" s="211">
        <v>60000</v>
      </c>
      <c r="F61" s="212">
        <f t="shared" si="3"/>
        <v>0.042135407072898444</v>
      </c>
    </row>
    <row r="62" spans="1:6" ht="12.75">
      <c r="A62" s="213">
        <v>100000</v>
      </c>
      <c r="B62" s="214">
        <f t="shared" si="2"/>
        <v>0.046081643805403215</v>
      </c>
      <c r="E62" s="213">
        <v>100000</v>
      </c>
      <c r="F62" s="214">
        <f t="shared" si="3"/>
        <v>0.041698211591683236</v>
      </c>
    </row>
    <row r="63" spans="1:6" ht="12.75">
      <c r="A63" s="211">
        <v>200000</v>
      </c>
      <c r="B63" s="212">
        <f t="shared" si="2"/>
        <v>0.04577147207571208</v>
      </c>
      <c r="E63" s="211">
        <v>200000</v>
      </c>
      <c r="F63" s="212">
        <f t="shared" si="3"/>
        <v>0.041346206359362724</v>
      </c>
    </row>
    <row r="64" spans="1:6" ht="12.75">
      <c r="A64" s="211">
        <v>400000</v>
      </c>
      <c r="B64" s="212">
        <f t="shared" si="2"/>
        <v>0.04560422177893206</v>
      </c>
      <c r="E64" s="211">
        <v>400000</v>
      </c>
      <c r="F64" s="212">
        <f t="shared" si="3"/>
        <v>0.04115592144396567</v>
      </c>
    </row>
    <row r="65" spans="1:6" ht="12.75">
      <c r="A65" s="211">
        <v>600000</v>
      </c>
      <c r="B65" s="212">
        <f t="shared" si="2"/>
        <v>0.045545002203172036</v>
      </c>
      <c r="E65" s="211">
        <v>600000</v>
      </c>
      <c r="F65" s="212">
        <f t="shared" si="3"/>
        <v>0.04108846380431734</v>
      </c>
    </row>
    <row r="66" spans="1:6" ht="12.75">
      <c r="A66" s="213">
        <v>1000000</v>
      </c>
      <c r="B66" s="214">
        <f t="shared" si="2"/>
        <v>0.04549537226085772</v>
      </c>
      <c r="E66" s="213">
        <v>1000000</v>
      </c>
      <c r="F66" s="214">
        <f t="shared" si="3"/>
        <v>0.04103189638041086</v>
      </c>
    </row>
    <row r="67" spans="1:6" ht="12.75">
      <c r="A67" s="211">
        <v>2000000</v>
      </c>
      <c r="B67" s="212">
        <f t="shared" si="2"/>
        <v>0.04545586175634153</v>
      </c>
      <c r="E67" s="211">
        <v>2000000</v>
      </c>
      <c r="F67" s="212">
        <f t="shared" si="3"/>
        <v>0.04098684099174799</v>
      </c>
    </row>
    <row r="68" spans="1:6" ht="12.75">
      <c r="A68" s="211">
        <v>4000000</v>
      </c>
      <c r="B68" s="212">
        <f t="shared" si="2"/>
        <v>0.045434671634390085</v>
      </c>
      <c r="E68" s="211">
        <v>4000000</v>
      </c>
      <c r="F68" s="212">
        <f t="shared" si="3"/>
        <v>0.0409626690075629</v>
      </c>
    </row>
    <row r="69" spans="1:6" ht="12.75">
      <c r="A69" s="211">
        <v>6000000</v>
      </c>
      <c r="B69" s="212">
        <f t="shared" si="2"/>
        <v>0.045427188062219126</v>
      </c>
      <c r="E69" s="211">
        <v>6000000</v>
      </c>
      <c r="F69" s="212">
        <f t="shared" si="3"/>
        <v>0.04095413100408589</v>
      </c>
    </row>
    <row r="70" spans="1:6" ht="12.75">
      <c r="A70" s="213">
        <v>10000000</v>
      </c>
      <c r="B70" s="214">
        <f t="shared" si="2"/>
        <v>0.0454209241589725</v>
      </c>
      <c r="E70" s="213">
        <v>10000000</v>
      </c>
      <c r="F70" s="214">
        <f t="shared" si="3"/>
        <v>0.04094698397877706</v>
      </c>
    </row>
    <row r="71" spans="1:6" ht="12.75">
      <c r="A71" s="211">
        <v>20000000</v>
      </c>
      <c r="B71" s="212">
        <f t="shared" si="2"/>
        <v>0.04541594256377283</v>
      </c>
      <c r="E71" s="211">
        <v>20000000</v>
      </c>
      <c r="F71" s="212">
        <f t="shared" si="3"/>
        <v>0.04094129969634452</v>
      </c>
    </row>
    <row r="72" spans="1:6" ht="12.75">
      <c r="A72" s="211">
        <v>40000000</v>
      </c>
      <c r="B72" s="212">
        <f t="shared" si="2"/>
        <v>0.045413272722883855</v>
      </c>
      <c r="E72" s="211">
        <v>40000000</v>
      </c>
      <c r="F72" s="212">
        <f t="shared" si="3"/>
        <v>0.04093825312795913</v>
      </c>
    </row>
    <row r="73" spans="1:6" ht="12.75">
      <c r="A73" s="211">
        <v>60000000</v>
      </c>
      <c r="B73" s="212">
        <f t="shared" si="2"/>
        <v>0.04541233014526968</v>
      </c>
      <c r="E73" s="211">
        <v>60000000</v>
      </c>
      <c r="F73" s="212">
        <f t="shared" si="3"/>
        <v>0.040937177526624444</v>
      </c>
    </row>
    <row r="74" spans="1:6" ht="12.75">
      <c r="A74" s="213">
        <v>100000000</v>
      </c>
      <c r="B74" s="214">
        <f t="shared" si="2"/>
        <v>0.045411541313768615</v>
      </c>
      <c r="E74" s="213">
        <v>100000000</v>
      </c>
      <c r="F74" s="214">
        <f t="shared" si="3"/>
        <v>0.040936277360618646</v>
      </c>
    </row>
  </sheetData>
  <sheetProtection/>
  <printOptions/>
  <pageMargins left="0.75" right="0.75" top="1" bottom="1" header="0.5" footer="0.5"/>
  <pageSetup horizontalDpi="300" verticalDpi="300" orientation="portrait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19.421875" style="0" customWidth="1"/>
    <col min="2" max="2" width="8.7109375" style="0" customWidth="1"/>
    <col min="3" max="3" width="6.7109375" style="0" customWidth="1"/>
    <col min="4" max="4" width="18.7109375" style="0" customWidth="1"/>
    <col min="5" max="5" width="8.7109375" style="0" customWidth="1"/>
    <col min="6" max="6" width="24.7109375" style="0" customWidth="1"/>
    <col min="7" max="7" width="19.7109375" style="0" customWidth="1"/>
  </cols>
  <sheetData>
    <row r="1" spans="1:6" ht="13.5" thickBot="1">
      <c r="A1" s="35" t="s">
        <v>0</v>
      </c>
      <c r="B1" s="36"/>
      <c r="C1" s="196" t="s">
        <v>84</v>
      </c>
      <c r="D1" s="74"/>
      <c r="E1" s="74"/>
      <c r="F1" s="110"/>
    </row>
    <row r="2" spans="1:6" ht="13.5" thickBot="1">
      <c r="A2" s="1" t="s">
        <v>2</v>
      </c>
      <c r="B2" s="2"/>
      <c r="C2" s="41" t="s">
        <v>3</v>
      </c>
      <c r="D2" s="37"/>
      <c r="E2" s="37"/>
      <c r="F2" s="73"/>
    </row>
    <row r="3" spans="1:6" ht="12.75">
      <c r="A3" s="45" t="s">
        <v>85</v>
      </c>
      <c r="B3" s="46"/>
      <c r="C3" s="42" t="s">
        <v>86</v>
      </c>
      <c r="D3" s="7" t="s">
        <v>87</v>
      </c>
      <c r="E3" s="8"/>
      <c r="F3" s="26"/>
    </row>
    <row r="4" spans="1:6" ht="13.5" thickBot="1">
      <c r="A4" s="38" t="s">
        <v>88</v>
      </c>
      <c r="B4" s="39"/>
      <c r="C4" s="43" t="s">
        <v>89</v>
      </c>
      <c r="D4" s="40" t="s">
        <v>90</v>
      </c>
      <c r="E4" s="39"/>
      <c r="F4" s="44"/>
    </row>
    <row r="5" spans="1:6" ht="13.5" thickBot="1">
      <c r="A5" s="9" t="s">
        <v>10</v>
      </c>
      <c r="B5" s="5" t="s">
        <v>91</v>
      </c>
      <c r="C5" s="10"/>
      <c r="D5" s="10"/>
      <c r="E5" s="10"/>
      <c r="F5" s="6"/>
    </row>
    <row r="6" spans="1:6" ht="14.25">
      <c r="A6" s="47" t="s">
        <v>12</v>
      </c>
      <c r="B6" s="48">
        <v>0.5</v>
      </c>
      <c r="C6" s="49" t="s">
        <v>92</v>
      </c>
      <c r="D6" s="47" t="s">
        <v>14</v>
      </c>
      <c r="E6" s="48">
        <v>0</v>
      </c>
      <c r="F6" s="49" t="s">
        <v>93</v>
      </c>
    </row>
    <row r="7" spans="1:6" ht="13.5" thickBot="1">
      <c r="A7" s="11" t="s">
        <v>16</v>
      </c>
      <c r="B7" s="12">
        <v>-3.5</v>
      </c>
      <c r="C7" s="50" t="s">
        <v>94</v>
      </c>
      <c r="D7" s="51" t="s">
        <v>18</v>
      </c>
      <c r="E7" s="52">
        <v>80</v>
      </c>
      <c r="F7" s="53" t="s">
        <v>93</v>
      </c>
    </row>
    <row r="8" spans="1:6" ht="15.75">
      <c r="A8" s="11" t="s">
        <v>19</v>
      </c>
      <c r="B8" s="12">
        <v>0</v>
      </c>
      <c r="C8" s="50" t="s">
        <v>94</v>
      </c>
      <c r="D8" s="12" t="s">
        <v>95</v>
      </c>
      <c r="E8" s="122"/>
      <c r="F8" s="26"/>
    </row>
    <row r="9" spans="1:6" ht="12.75">
      <c r="A9" s="11" t="s">
        <v>21</v>
      </c>
      <c r="B9" s="24">
        <f>B20</f>
        <v>9.736854200070715</v>
      </c>
      <c r="C9" s="50" t="s">
        <v>96</v>
      </c>
      <c r="D9" s="55" t="s">
        <v>23</v>
      </c>
      <c r="E9" s="81">
        <f>B9^2/(2*32.2)</f>
        <v>1.472147976916688</v>
      </c>
      <c r="F9" s="84" t="s">
        <v>93</v>
      </c>
    </row>
    <row r="10" spans="1:6" ht="13.5" thickBot="1">
      <c r="A10" s="51" t="s">
        <v>24</v>
      </c>
      <c r="B10" s="52">
        <v>54.24</v>
      </c>
      <c r="C10" s="53" t="s">
        <v>96</v>
      </c>
      <c r="D10" s="57" t="s">
        <v>25</v>
      </c>
      <c r="E10" s="82">
        <f>B10^2/(2*32.2)</f>
        <v>45.68288198757764</v>
      </c>
      <c r="F10" s="84" t="s">
        <v>93</v>
      </c>
    </row>
    <row r="11" spans="1:6" ht="12.75">
      <c r="A11" s="60" t="s">
        <v>26</v>
      </c>
      <c r="B11" s="3"/>
      <c r="C11" s="3"/>
      <c r="D11" s="6" t="s">
        <v>283</v>
      </c>
      <c r="E11" s="61"/>
      <c r="F11" s="62"/>
    </row>
    <row r="12" spans="1:6" ht="15" thickBot="1">
      <c r="A12" s="51" t="s">
        <v>27</v>
      </c>
      <c r="B12" s="70">
        <v>64</v>
      </c>
      <c r="C12" s="52" t="s">
        <v>97</v>
      </c>
      <c r="D12" s="63" t="s">
        <v>29</v>
      </c>
      <c r="E12" s="64">
        <v>2.01E-05</v>
      </c>
      <c r="F12" s="53" t="s">
        <v>98</v>
      </c>
    </row>
    <row r="13" spans="1:6" ht="12.75">
      <c r="A13" s="65" t="s">
        <v>99</v>
      </c>
      <c r="B13" s="48"/>
      <c r="C13" s="49"/>
      <c r="D13" s="65" t="s">
        <v>100</v>
      </c>
      <c r="E13" s="68"/>
      <c r="F13" s="49"/>
    </row>
    <row r="14" spans="1:6" ht="12.75">
      <c r="A14" s="11" t="s">
        <v>33</v>
      </c>
      <c r="B14" s="12">
        <v>0.2557</v>
      </c>
      <c r="C14" s="50" t="s">
        <v>93</v>
      </c>
      <c r="D14" s="11" t="s">
        <v>33</v>
      </c>
      <c r="E14" s="12">
        <v>0.2058</v>
      </c>
      <c r="F14" s="50" t="s">
        <v>93</v>
      </c>
    </row>
    <row r="15" spans="1:6" ht="12.75">
      <c r="A15" s="11" t="s">
        <v>34</v>
      </c>
      <c r="B15" s="15">
        <v>0.00015</v>
      </c>
      <c r="C15" s="50" t="s">
        <v>93</v>
      </c>
      <c r="D15" s="11" t="s">
        <v>34</v>
      </c>
      <c r="E15" s="15">
        <v>0.00015</v>
      </c>
      <c r="F15" s="50" t="s">
        <v>284</v>
      </c>
    </row>
    <row r="16" spans="1:6" ht="12.75">
      <c r="A16" s="11" t="s">
        <v>35</v>
      </c>
      <c r="B16" s="16">
        <v>0</v>
      </c>
      <c r="C16" s="50" t="s">
        <v>93</v>
      </c>
      <c r="D16" s="11" t="s">
        <v>35</v>
      </c>
      <c r="E16" s="16">
        <v>82</v>
      </c>
      <c r="F16" s="50" t="s">
        <v>93</v>
      </c>
    </row>
    <row r="17" spans="1:6" ht="14.25">
      <c r="A17" s="17" t="s">
        <v>36</v>
      </c>
      <c r="B17" s="83">
        <f>PI()*B14^2/4</f>
        <v>0.05135128756435202</v>
      </c>
      <c r="C17" s="6" t="s">
        <v>101</v>
      </c>
      <c r="D17" s="17" t="s">
        <v>36</v>
      </c>
      <c r="E17" s="83">
        <f>PI()*E14^2/4</f>
        <v>0.03326447106919671</v>
      </c>
      <c r="F17" s="194" t="s">
        <v>102</v>
      </c>
    </row>
    <row r="18" spans="1:6" ht="12.75">
      <c r="A18" s="20" t="s">
        <v>39</v>
      </c>
      <c r="B18" s="21">
        <f>B14/B15</f>
        <v>1704.6666666666667</v>
      </c>
      <c r="C18" s="6"/>
      <c r="D18" s="20" t="s">
        <v>39</v>
      </c>
      <c r="E18" s="21">
        <f>E14/E15</f>
        <v>1372.0000000000002</v>
      </c>
      <c r="F18" s="76" t="s">
        <v>40</v>
      </c>
    </row>
    <row r="19" spans="1:6" ht="12.75">
      <c r="A19" s="20" t="s">
        <v>41</v>
      </c>
      <c r="B19" s="21">
        <f>B16/B14</f>
        <v>0</v>
      </c>
      <c r="C19" s="6"/>
      <c r="D19" s="20" t="s">
        <v>41</v>
      </c>
      <c r="E19" s="21">
        <f>E16/E14</f>
        <v>398.44509232264335</v>
      </c>
      <c r="F19" s="6"/>
    </row>
    <row r="20" spans="1:6" ht="12.75">
      <c r="A20" s="17" t="s">
        <v>42</v>
      </c>
      <c r="B20" s="22">
        <f>B6/B17</f>
        <v>9.736854200070715</v>
      </c>
      <c r="C20" s="6" t="s">
        <v>103</v>
      </c>
      <c r="D20" s="17" t="s">
        <v>42</v>
      </c>
      <c r="E20" s="22">
        <f>B6/E17</f>
        <v>15.031052168540443</v>
      </c>
      <c r="F20" s="6" t="s">
        <v>104</v>
      </c>
    </row>
    <row r="21" spans="1:6" ht="14.25">
      <c r="A21" s="17" t="s">
        <v>45</v>
      </c>
      <c r="B21" s="23">
        <f>B20^2/(2*32.2)</f>
        <v>1.472147976916688</v>
      </c>
      <c r="C21" s="6" t="s">
        <v>93</v>
      </c>
      <c r="D21" s="17" t="s">
        <v>45</v>
      </c>
      <c r="E21" s="23">
        <f>E20^2/(2*32.2)</f>
        <v>3.5082690884065886</v>
      </c>
      <c r="F21" s="6" t="s">
        <v>105</v>
      </c>
    </row>
    <row r="22" spans="1:6" ht="15.75">
      <c r="A22" s="17" t="s">
        <v>47</v>
      </c>
      <c r="B22" s="18">
        <f>B20*B14/E12</f>
        <v>123866.34920189461</v>
      </c>
      <c r="C22" s="6"/>
      <c r="D22" s="17" t="s">
        <v>47</v>
      </c>
      <c r="E22" s="18">
        <f>E20*E14/E12</f>
        <v>153900.02668087676</v>
      </c>
      <c r="F22" s="77" t="s">
        <v>48</v>
      </c>
    </row>
    <row r="23" spans="1:6" ht="13.5" thickBot="1">
      <c r="A23" s="66" t="s">
        <v>49</v>
      </c>
      <c r="B23" s="67">
        <f>0.25/(LOG10(1/(3.7*B18)+5.74/B22^0.9))^2</f>
        <v>0.0202795018586225</v>
      </c>
      <c r="C23" s="34"/>
      <c r="D23" s="66" t="s">
        <v>49</v>
      </c>
      <c r="E23" s="67">
        <f>0.25/(LOG10(1/(3.7*E18)+5.74/E22^0.9))^2</f>
        <v>0.02047041100481745</v>
      </c>
      <c r="F23" s="166" t="s">
        <v>282</v>
      </c>
    </row>
    <row r="24" spans="1:6" ht="12.75">
      <c r="A24" s="60" t="s">
        <v>50</v>
      </c>
      <c r="B24" s="198" t="s">
        <v>51</v>
      </c>
      <c r="C24" s="80" t="s">
        <v>52</v>
      </c>
      <c r="D24" s="3"/>
      <c r="E24" s="3"/>
      <c r="F24" s="4"/>
    </row>
    <row r="25" spans="1:6" ht="15.75">
      <c r="A25" s="20" t="s">
        <v>106</v>
      </c>
      <c r="B25" s="81">
        <f>B23*B19</f>
        <v>0</v>
      </c>
      <c r="C25" s="201">
        <v>1</v>
      </c>
      <c r="D25" s="19" t="s">
        <v>54</v>
      </c>
      <c r="E25" s="22">
        <f>B25*$B$21</f>
        <v>0</v>
      </c>
      <c r="F25" s="6" t="s">
        <v>93</v>
      </c>
    </row>
    <row r="26" spans="1:6" ht="15.75">
      <c r="A26" s="20" t="s">
        <v>107</v>
      </c>
      <c r="B26" s="24">
        <v>0</v>
      </c>
      <c r="C26" s="25">
        <v>1</v>
      </c>
      <c r="D26" s="19" t="s">
        <v>57</v>
      </c>
      <c r="E26" s="22">
        <f>B26*C26*$B$21</f>
        <v>0</v>
      </c>
      <c r="F26" s="6" t="s">
        <v>93</v>
      </c>
    </row>
    <row r="27" spans="1:6" ht="15.75">
      <c r="A27" s="20" t="s">
        <v>59</v>
      </c>
      <c r="B27" s="24">
        <v>0</v>
      </c>
      <c r="C27" s="25">
        <v>1</v>
      </c>
      <c r="D27" s="19" t="s">
        <v>60</v>
      </c>
      <c r="E27" s="22">
        <f aca="true" t="shared" si="0" ref="E27:E32">B27*C27*$B$21</f>
        <v>0</v>
      </c>
      <c r="F27" s="6" t="s">
        <v>93</v>
      </c>
    </row>
    <row r="28" spans="1:6" ht="15.75">
      <c r="A28" s="20" t="s">
        <v>61</v>
      </c>
      <c r="B28" s="24">
        <v>0</v>
      </c>
      <c r="C28" s="25">
        <v>1</v>
      </c>
      <c r="D28" s="19" t="s">
        <v>62</v>
      </c>
      <c r="E28" s="22">
        <f t="shared" si="0"/>
        <v>0</v>
      </c>
      <c r="F28" s="6" t="s">
        <v>93</v>
      </c>
    </row>
    <row r="29" spans="1:6" ht="15.75">
      <c r="A29" s="20" t="s">
        <v>63</v>
      </c>
      <c r="B29" s="24">
        <v>0</v>
      </c>
      <c r="C29" s="25">
        <v>1</v>
      </c>
      <c r="D29" s="19" t="s">
        <v>64</v>
      </c>
      <c r="E29" s="22">
        <f t="shared" si="0"/>
        <v>0</v>
      </c>
      <c r="F29" s="6" t="s">
        <v>93</v>
      </c>
    </row>
    <row r="30" spans="1:6" ht="15.75">
      <c r="A30" s="20" t="s">
        <v>65</v>
      </c>
      <c r="B30" s="24">
        <v>0</v>
      </c>
      <c r="C30" s="25">
        <v>1</v>
      </c>
      <c r="D30" s="19" t="s">
        <v>66</v>
      </c>
      <c r="E30" s="22">
        <f t="shared" si="0"/>
        <v>0</v>
      </c>
      <c r="F30" s="6" t="s">
        <v>93</v>
      </c>
    </row>
    <row r="31" spans="1:6" ht="15.75">
      <c r="A31" s="20" t="s">
        <v>67</v>
      </c>
      <c r="B31" s="24">
        <v>0</v>
      </c>
      <c r="C31" s="25">
        <v>1</v>
      </c>
      <c r="D31" s="19" t="s">
        <v>68</v>
      </c>
      <c r="E31" s="22">
        <f t="shared" si="0"/>
        <v>0</v>
      </c>
      <c r="F31" s="6" t="s">
        <v>93</v>
      </c>
    </row>
    <row r="32" spans="1:6" ht="16.5" thickBot="1">
      <c r="A32" s="69" t="s">
        <v>69</v>
      </c>
      <c r="B32" s="70">
        <v>0</v>
      </c>
      <c r="C32" s="71">
        <v>1</v>
      </c>
      <c r="D32" s="19" t="s">
        <v>70</v>
      </c>
      <c r="E32" s="22">
        <f t="shared" si="0"/>
        <v>0</v>
      </c>
      <c r="F32" s="34" t="s">
        <v>93</v>
      </c>
    </row>
    <row r="33" spans="1:6" ht="12.75">
      <c r="A33" s="60" t="s">
        <v>71</v>
      </c>
      <c r="B33" s="198" t="s">
        <v>51</v>
      </c>
      <c r="C33" s="80" t="s">
        <v>52</v>
      </c>
      <c r="D33" s="3"/>
      <c r="E33" s="72"/>
      <c r="F33" s="4"/>
    </row>
    <row r="34" spans="1:6" ht="15.75">
      <c r="A34" s="20" t="s">
        <v>106</v>
      </c>
      <c r="B34" s="78">
        <f>E23*E19</f>
        <v>8.156334802696943</v>
      </c>
      <c r="C34" s="79">
        <v>1</v>
      </c>
      <c r="D34" s="19" t="s">
        <v>54</v>
      </c>
      <c r="E34" s="22">
        <f>B34*E21</f>
        <v>28.614617262996536</v>
      </c>
      <c r="F34" s="6" t="s">
        <v>93</v>
      </c>
    </row>
    <row r="35" spans="1:6" ht="15.75">
      <c r="A35" s="20" t="s">
        <v>108</v>
      </c>
      <c r="B35" s="24">
        <v>0.54</v>
      </c>
      <c r="C35" s="25">
        <v>1</v>
      </c>
      <c r="D35" s="19" t="s">
        <v>57</v>
      </c>
      <c r="E35" s="22">
        <f>B35*C35*$E$21</f>
        <v>1.894465307739558</v>
      </c>
      <c r="F35" s="6" t="s">
        <v>93</v>
      </c>
    </row>
    <row r="36" spans="1:6" ht="15.75">
      <c r="A36" s="20" t="s">
        <v>109</v>
      </c>
      <c r="B36" s="24">
        <v>32.6</v>
      </c>
      <c r="C36" s="25">
        <v>1</v>
      </c>
      <c r="D36" s="19" t="s">
        <v>60</v>
      </c>
      <c r="E36" s="22">
        <f aca="true" t="shared" si="1" ref="E36:E41">B36*C36*$E$21</f>
        <v>114.36957228205479</v>
      </c>
      <c r="F36" s="6" t="s">
        <v>93</v>
      </c>
    </row>
    <row r="37" spans="1:6" ht="15.75">
      <c r="A37" s="20" t="s">
        <v>61</v>
      </c>
      <c r="B37" s="24">
        <v>0</v>
      </c>
      <c r="C37" s="25">
        <v>1</v>
      </c>
      <c r="D37" s="19" t="s">
        <v>62</v>
      </c>
      <c r="E37" s="22">
        <f t="shared" si="1"/>
        <v>0</v>
      </c>
      <c r="F37" s="6" t="s">
        <v>93</v>
      </c>
    </row>
    <row r="38" spans="1:6" ht="15.75">
      <c r="A38" s="20" t="s">
        <v>63</v>
      </c>
      <c r="B38" s="24">
        <v>0</v>
      </c>
      <c r="C38" s="25">
        <v>1</v>
      </c>
      <c r="D38" s="19" t="s">
        <v>64</v>
      </c>
      <c r="E38" s="22">
        <f t="shared" si="1"/>
        <v>0</v>
      </c>
      <c r="F38" s="6" t="s">
        <v>93</v>
      </c>
    </row>
    <row r="39" spans="1:6" ht="15.75">
      <c r="A39" s="20" t="s">
        <v>65</v>
      </c>
      <c r="B39" s="24">
        <v>0</v>
      </c>
      <c r="C39" s="25">
        <v>1</v>
      </c>
      <c r="D39" s="19" t="s">
        <v>66</v>
      </c>
      <c r="E39" s="22">
        <f t="shared" si="1"/>
        <v>0</v>
      </c>
      <c r="F39" s="6" t="s">
        <v>93</v>
      </c>
    </row>
    <row r="40" spans="1:6" ht="15.75">
      <c r="A40" s="20" t="s">
        <v>67</v>
      </c>
      <c r="B40" s="24">
        <v>0</v>
      </c>
      <c r="C40" s="25">
        <v>1</v>
      </c>
      <c r="D40" s="19" t="s">
        <v>68</v>
      </c>
      <c r="E40" s="22">
        <f t="shared" si="1"/>
        <v>0</v>
      </c>
      <c r="F40" s="6" t="s">
        <v>93</v>
      </c>
    </row>
    <row r="41" spans="1:6" ht="16.5" thickBot="1">
      <c r="A41" s="69" t="s">
        <v>69</v>
      </c>
      <c r="B41" s="70">
        <v>0</v>
      </c>
      <c r="C41" s="71">
        <v>1</v>
      </c>
      <c r="D41" s="19" t="s">
        <v>70</v>
      </c>
      <c r="E41" s="33">
        <f t="shared" si="1"/>
        <v>0</v>
      </c>
      <c r="F41" s="34" t="s">
        <v>93</v>
      </c>
    </row>
    <row r="42" spans="1:6" ht="16.5" thickBot="1">
      <c r="A42" s="27"/>
      <c r="C42" s="143"/>
      <c r="D42" s="112" t="s">
        <v>76</v>
      </c>
      <c r="E42" s="113">
        <f>SUM(E25:E41)</f>
        <v>144.87865485279087</v>
      </c>
      <c r="F42" s="85" t="s">
        <v>93</v>
      </c>
    </row>
    <row r="43" spans="1:6" ht="15.75">
      <c r="A43" s="27"/>
      <c r="B43" s="28" t="s">
        <v>77</v>
      </c>
      <c r="C43" s="27"/>
      <c r="D43" s="19" t="s">
        <v>78</v>
      </c>
      <c r="E43" s="29">
        <f>(B8-B7)*144/B12+(E7-E6)+(E10-E9)+E42</f>
        <v>276.96438886345186</v>
      </c>
      <c r="F43" s="6" t="s">
        <v>93</v>
      </c>
    </row>
    <row r="44" spans="1:6" ht="15.75">
      <c r="A44" s="27"/>
      <c r="B44" s="10"/>
      <c r="C44" s="27"/>
      <c r="D44" s="19" t="s">
        <v>79</v>
      </c>
      <c r="E44" s="22">
        <f>E43*B12*B6/550</f>
        <v>16.114291715691746</v>
      </c>
      <c r="F44" s="6" t="s">
        <v>110</v>
      </c>
    </row>
    <row r="45" spans="1:6" ht="12.75">
      <c r="A45" s="27"/>
      <c r="B45" s="10"/>
      <c r="C45" s="88"/>
      <c r="D45" s="13" t="s">
        <v>81</v>
      </c>
      <c r="E45" s="24">
        <v>76</v>
      </c>
      <c r="F45" s="50" t="s">
        <v>82</v>
      </c>
    </row>
    <row r="46" spans="1:6" ht="16.5" thickBot="1">
      <c r="A46" s="30"/>
      <c r="B46" s="31"/>
      <c r="C46" s="30"/>
      <c r="D46" s="32" t="s">
        <v>83</v>
      </c>
      <c r="E46" s="33">
        <f>E44/(E45/100)</f>
        <v>21.203015415383877</v>
      </c>
      <c r="F46" s="34" t="s">
        <v>110</v>
      </c>
    </row>
  </sheetData>
  <sheetProtection/>
  <printOptions/>
  <pageMargins left="0.75" right="0.75" top="1" bottom="0.7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23">
      <selection activeCell="B9" sqref="B9"/>
    </sheetView>
  </sheetViews>
  <sheetFormatPr defaultColWidth="9.140625" defaultRowHeight="12.75"/>
  <cols>
    <col min="1" max="1" width="19.421875" style="0" customWidth="1"/>
    <col min="2" max="2" width="8.7109375" style="0" customWidth="1"/>
    <col min="3" max="3" width="6.7109375" style="0" customWidth="1"/>
    <col min="4" max="4" width="18.7109375" style="0" customWidth="1"/>
    <col min="5" max="5" width="8.7109375" style="0" customWidth="1"/>
    <col min="6" max="6" width="24.7109375" style="0" customWidth="1"/>
    <col min="7" max="7" width="19.7109375" style="0" customWidth="1"/>
  </cols>
  <sheetData>
    <row r="1" spans="1:6" ht="13.5" thickBot="1">
      <c r="A1" s="35" t="s">
        <v>0</v>
      </c>
      <c r="B1" s="36"/>
      <c r="C1" s="196" t="s">
        <v>111</v>
      </c>
      <c r="D1" s="74"/>
      <c r="E1" s="74"/>
      <c r="F1" s="110"/>
    </row>
    <row r="2" spans="1:6" ht="13.5" thickBot="1">
      <c r="A2" s="1" t="s">
        <v>112</v>
      </c>
      <c r="B2" s="2"/>
      <c r="C2" s="41" t="s">
        <v>3</v>
      </c>
      <c r="D2" s="37"/>
      <c r="E2" s="37"/>
      <c r="F2" s="73"/>
    </row>
    <row r="3" spans="1:6" ht="12.75">
      <c r="A3" s="45" t="s">
        <v>273</v>
      </c>
      <c r="B3" s="221"/>
      <c r="C3" s="42" t="s">
        <v>86</v>
      </c>
      <c r="D3" s="7" t="s">
        <v>271</v>
      </c>
      <c r="E3" s="8"/>
      <c r="F3" s="26"/>
    </row>
    <row r="4" spans="1:6" ht="13.5" thickBot="1">
      <c r="A4" s="38" t="s">
        <v>300</v>
      </c>
      <c r="B4" s="39"/>
      <c r="C4" s="43" t="s">
        <v>89</v>
      </c>
      <c r="D4" s="40" t="s">
        <v>113</v>
      </c>
      <c r="E4" s="39"/>
      <c r="F4" s="44"/>
    </row>
    <row r="5" spans="1:6" ht="13.5" thickBot="1">
      <c r="A5" s="9" t="s">
        <v>10</v>
      </c>
      <c r="B5" s="5" t="s">
        <v>11</v>
      </c>
      <c r="C5" s="10"/>
      <c r="D5" s="10"/>
      <c r="E5" s="10"/>
      <c r="F5" s="6"/>
    </row>
    <row r="6" spans="1:6" ht="14.25">
      <c r="A6" s="47" t="s">
        <v>12</v>
      </c>
      <c r="B6" s="68">
        <f>1.7/60000</f>
        <v>2.8333333333333332E-05</v>
      </c>
      <c r="C6" s="49" t="s">
        <v>13</v>
      </c>
      <c r="D6" s="47" t="s">
        <v>14</v>
      </c>
      <c r="E6" s="48">
        <v>0</v>
      </c>
      <c r="F6" s="49" t="s">
        <v>15</v>
      </c>
    </row>
    <row r="7" spans="1:6" ht="15" thickBot="1">
      <c r="A7" s="218" t="s">
        <v>297</v>
      </c>
      <c r="B7" s="12">
        <v>100</v>
      </c>
      <c r="C7" s="50" t="s">
        <v>17</v>
      </c>
      <c r="D7" s="51" t="s">
        <v>18</v>
      </c>
      <c r="E7" s="52">
        <v>1.2</v>
      </c>
      <c r="F7" s="53" t="s">
        <v>15</v>
      </c>
    </row>
    <row r="8" spans="1:6" ht="15.75">
      <c r="A8" s="219" t="s">
        <v>298</v>
      </c>
      <c r="B8" s="216">
        <f>B7+E44</f>
        <v>81.97753167092006</v>
      </c>
      <c r="C8" s="215" t="s">
        <v>17</v>
      </c>
      <c r="D8" s="88" t="s">
        <v>114</v>
      </c>
      <c r="E8" s="122"/>
      <c r="F8" s="26"/>
    </row>
    <row r="9" spans="1:6" ht="12.75">
      <c r="A9" s="11" t="s">
        <v>21</v>
      </c>
      <c r="B9" s="172">
        <f>B20</f>
        <v>0.2505216696816871</v>
      </c>
      <c r="C9" s="50" t="s">
        <v>22</v>
      </c>
      <c r="D9" s="55" t="s">
        <v>23</v>
      </c>
      <c r="E9" s="14">
        <f>B9^2/(2*9.81)</f>
        <v>0.0031988331794138808</v>
      </c>
      <c r="F9" s="56" t="s">
        <v>15</v>
      </c>
    </row>
    <row r="10" spans="1:6" ht="13.5" thickBot="1">
      <c r="A10" s="51" t="s">
        <v>24</v>
      </c>
      <c r="B10" s="173">
        <f>B20</f>
        <v>0.2505216696816871</v>
      </c>
      <c r="C10" s="53" t="s">
        <v>22</v>
      </c>
      <c r="D10" s="57" t="s">
        <v>25</v>
      </c>
      <c r="E10" s="210">
        <f>B10^2/(2*9.81)</f>
        <v>0.0031988331794138808</v>
      </c>
      <c r="F10" s="59" t="s">
        <v>15</v>
      </c>
    </row>
    <row r="11" spans="1:6" ht="12.75">
      <c r="A11" s="60" t="s">
        <v>26</v>
      </c>
      <c r="B11" s="3" t="s">
        <v>295</v>
      </c>
      <c r="C11" s="3"/>
      <c r="D11" s="6" t="s">
        <v>283</v>
      </c>
      <c r="E11" s="61"/>
      <c r="F11" s="62"/>
    </row>
    <row r="12" spans="1:6" ht="15" thickBot="1">
      <c r="A12" s="51" t="s">
        <v>27</v>
      </c>
      <c r="B12" s="52">
        <v>12.2625</v>
      </c>
      <c r="C12" s="52" t="s">
        <v>28</v>
      </c>
      <c r="D12" s="63" t="s">
        <v>29</v>
      </c>
      <c r="E12" s="64">
        <v>2.4E-07</v>
      </c>
      <c r="F12" s="53" t="s">
        <v>30</v>
      </c>
    </row>
    <row r="13" spans="1:6" ht="12.75">
      <c r="A13" s="222" t="s">
        <v>301</v>
      </c>
      <c r="B13" s="48"/>
      <c r="C13" s="49"/>
      <c r="D13" s="65" t="s">
        <v>115</v>
      </c>
      <c r="E13" s="68"/>
      <c r="F13" s="49"/>
    </row>
    <row r="14" spans="1:6" ht="12.75">
      <c r="A14" s="11" t="s">
        <v>33</v>
      </c>
      <c r="B14" s="12">
        <v>0.012</v>
      </c>
      <c r="C14" s="50" t="s">
        <v>15</v>
      </c>
      <c r="D14" s="11" t="s">
        <v>33</v>
      </c>
      <c r="E14" s="12">
        <v>0.09797</v>
      </c>
      <c r="F14" s="50" t="s">
        <v>15</v>
      </c>
    </row>
    <row r="15" spans="1:6" ht="12.75">
      <c r="A15" s="11" t="s">
        <v>34</v>
      </c>
      <c r="B15" s="15">
        <v>1.5E-06</v>
      </c>
      <c r="C15" s="50" t="s">
        <v>15</v>
      </c>
      <c r="D15" s="11" t="s">
        <v>34</v>
      </c>
      <c r="E15" s="15">
        <v>1.5E-06</v>
      </c>
      <c r="F15" s="50" t="s">
        <v>285</v>
      </c>
    </row>
    <row r="16" spans="1:6" ht="12.75">
      <c r="A16" s="11" t="s">
        <v>35</v>
      </c>
      <c r="B16" s="16">
        <v>30</v>
      </c>
      <c r="C16" s="50" t="s">
        <v>15</v>
      </c>
      <c r="D16" s="11" t="s">
        <v>35</v>
      </c>
      <c r="E16" s="16">
        <v>0</v>
      </c>
      <c r="F16" s="50" t="s">
        <v>15</v>
      </c>
    </row>
    <row r="17" spans="1:6" ht="14.25">
      <c r="A17" s="17" t="s">
        <v>36</v>
      </c>
      <c r="B17" s="18">
        <f>PI()*B14^2/4</f>
        <v>0.00011309733552923255</v>
      </c>
      <c r="C17" s="6" t="s">
        <v>37</v>
      </c>
      <c r="D17" s="17" t="s">
        <v>36</v>
      </c>
      <c r="E17" s="18">
        <f>PI()*E14^2/4</f>
        <v>0.007538346526926663</v>
      </c>
      <c r="F17" s="6" t="s">
        <v>116</v>
      </c>
    </row>
    <row r="18" spans="1:6" ht="12.75">
      <c r="A18" s="20" t="s">
        <v>39</v>
      </c>
      <c r="B18" s="21">
        <f>B14/B15</f>
        <v>8000</v>
      </c>
      <c r="C18" s="6"/>
      <c r="D18" s="20" t="s">
        <v>39</v>
      </c>
      <c r="E18" s="21">
        <f>E14/E15</f>
        <v>65313.333333333336</v>
      </c>
      <c r="F18" s="76" t="s">
        <v>40</v>
      </c>
    </row>
    <row r="19" spans="1:6" ht="12.75">
      <c r="A19" s="20" t="s">
        <v>41</v>
      </c>
      <c r="B19" s="21">
        <f>B16/B14</f>
        <v>2500</v>
      </c>
      <c r="C19" s="6"/>
      <c r="D19" s="20" t="s">
        <v>41</v>
      </c>
      <c r="E19" s="21">
        <f>E16/E14</f>
        <v>0</v>
      </c>
      <c r="F19" s="6"/>
    </row>
    <row r="20" spans="1:6" ht="12.75">
      <c r="A20" s="17" t="s">
        <v>42</v>
      </c>
      <c r="B20" s="23">
        <f>B6/B17</f>
        <v>0.2505216696816871</v>
      </c>
      <c r="C20" s="6" t="s">
        <v>43</v>
      </c>
      <c r="D20" s="17" t="s">
        <v>42</v>
      </c>
      <c r="E20" s="103">
        <f>B6/E17</f>
        <v>0.0037585607443393365</v>
      </c>
      <c r="F20" s="6" t="s">
        <v>117</v>
      </c>
    </row>
    <row r="21" spans="1:6" ht="12.75">
      <c r="A21" s="17" t="s">
        <v>45</v>
      </c>
      <c r="B21" s="135">
        <f>B20^2/(2*9.81)</f>
        <v>0.0031988331794138808</v>
      </c>
      <c r="C21" s="6" t="s">
        <v>15</v>
      </c>
      <c r="D21" s="17" t="s">
        <v>45</v>
      </c>
      <c r="E21" s="103">
        <f>E20^2/(2*9.81)</f>
        <v>7.200193103409106E-07</v>
      </c>
      <c r="F21" s="6" t="s">
        <v>15</v>
      </c>
    </row>
    <row r="22" spans="1:6" ht="15.75">
      <c r="A22" s="17" t="s">
        <v>47</v>
      </c>
      <c r="B22" s="18">
        <f>B20*B14/E12</f>
        <v>12526.083484084356</v>
      </c>
      <c r="C22" s="6"/>
      <c r="D22" s="17" t="s">
        <v>47</v>
      </c>
      <c r="E22" s="18">
        <f>E20*E14/E12</f>
        <v>1534.2758171788535</v>
      </c>
      <c r="F22" s="6" t="s">
        <v>118</v>
      </c>
    </row>
    <row r="23" spans="1:6" ht="13.5" thickBot="1">
      <c r="A23" s="66" t="s">
        <v>49</v>
      </c>
      <c r="B23" s="67">
        <f>0.25/(LOG10(1/(3.7*B18)+5.74/B22^0.9))^2</f>
        <v>0.029384371619830162</v>
      </c>
      <c r="C23" s="34"/>
      <c r="D23" s="66" t="s">
        <v>49</v>
      </c>
      <c r="E23" s="67">
        <f>0.25/(LOG10(1/(3.7*E18)+5.74/E22^0.9))^2</f>
        <v>0.05625077416142086</v>
      </c>
      <c r="F23" s="76" t="s">
        <v>286</v>
      </c>
    </row>
    <row r="24" spans="1:6" ht="12.75">
      <c r="A24" s="60" t="s">
        <v>50</v>
      </c>
      <c r="B24" s="198" t="s">
        <v>51</v>
      </c>
      <c r="C24" s="80" t="s">
        <v>52</v>
      </c>
      <c r="D24" s="3"/>
      <c r="E24" s="3"/>
      <c r="F24" s="4"/>
    </row>
    <row r="25" spans="1:6" ht="15.75">
      <c r="A25" s="20" t="s">
        <v>53</v>
      </c>
      <c r="B25" s="81">
        <f>B23*B19</f>
        <v>73.46092904957541</v>
      </c>
      <c r="C25" s="201">
        <v>1</v>
      </c>
      <c r="D25" s="19" t="s">
        <v>54</v>
      </c>
      <c r="E25" s="103">
        <f>B25*$B$21</f>
        <v>0.23498925723435082</v>
      </c>
      <c r="F25" s="6" t="s">
        <v>119</v>
      </c>
    </row>
    <row r="26" spans="1:6" ht="15.75">
      <c r="A26" s="20" t="s">
        <v>246</v>
      </c>
      <c r="B26" s="24">
        <v>1.83</v>
      </c>
      <c r="C26" s="25">
        <v>1</v>
      </c>
      <c r="D26" s="19" t="s">
        <v>57</v>
      </c>
      <c r="E26" s="103">
        <f aca="true" t="shared" si="0" ref="E26:E32">B26*C26*$B$21</f>
        <v>0.005853864718327402</v>
      </c>
      <c r="F26" s="223" t="s">
        <v>302</v>
      </c>
    </row>
    <row r="27" spans="1:6" ht="15.75">
      <c r="A27" s="20" t="s">
        <v>293</v>
      </c>
      <c r="B27" s="172">
        <v>4.148</v>
      </c>
      <c r="C27" s="25">
        <v>1</v>
      </c>
      <c r="D27" s="19" t="s">
        <v>60</v>
      </c>
      <c r="E27" s="103">
        <f t="shared" si="0"/>
        <v>0.013268760028208777</v>
      </c>
      <c r="F27" s="223" t="s">
        <v>302</v>
      </c>
    </row>
    <row r="28" spans="1:6" ht="15.75">
      <c r="A28" s="20" t="s">
        <v>272</v>
      </c>
      <c r="B28" s="24">
        <v>0.61</v>
      </c>
      <c r="C28" s="25">
        <v>8</v>
      </c>
      <c r="D28" s="19" t="s">
        <v>62</v>
      </c>
      <c r="E28" s="103">
        <f t="shared" si="0"/>
        <v>0.015610305915539737</v>
      </c>
      <c r="F28" s="223" t="s">
        <v>302</v>
      </c>
    </row>
    <row r="29" spans="1:6" ht="15.75">
      <c r="A29" s="20" t="s">
        <v>63</v>
      </c>
      <c r="B29" s="24">
        <v>0</v>
      </c>
      <c r="C29" s="25">
        <v>1</v>
      </c>
      <c r="D29" s="19" t="s">
        <v>64</v>
      </c>
      <c r="E29" s="22">
        <f t="shared" si="0"/>
        <v>0</v>
      </c>
      <c r="F29" s="6" t="s">
        <v>15</v>
      </c>
    </row>
    <row r="30" spans="1:6" ht="15.75">
      <c r="A30" s="20" t="s">
        <v>65</v>
      </c>
      <c r="B30" s="24">
        <v>0</v>
      </c>
      <c r="C30" s="25">
        <v>1</v>
      </c>
      <c r="D30" s="19" t="s">
        <v>66</v>
      </c>
      <c r="E30" s="22">
        <f t="shared" si="0"/>
        <v>0</v>
      </c>
      <c r="F30" s="6" t="s">
        <v>15</v>
      </c>
    </row>
    <row r="31" spans="1:6" ht="15.75">
      <c r="A31" s="20" t="s">
        <v>67</v>
      </c>
      <c r="B31" s="24">
        <v>0</v>
      </c>
      <c r="C31" s="25">
        <v>1</v>
      </c>
      <c r="D31" s="19" t="s">
        <v>68</v>
      </c>
      <c r="E31" s="22">
        <f t="shared" si="0"/>
        <v>0</v>
      </c>
      <c r="F31" s="6" t="s">
        <v>15</v>
      </c>
    </row>
    <row r="32" spans="1:6" ht="16.5" thickBot="1">
      <c r="A32" s="69" t="s">
        <v>69</v>
      </c>
      <c r="B32" s="70">
        <v>0</v>
      </c>
      <c r="C32" s="71">
        <v>1</v>
      </c>
      <c r="D32" s="19" t="s">
        <v>70</v>
      </c>
      <c r="E32" s="22">
        <f t="shared" si="0"/>
        <v>0</v>
      </c>
      <c r="F32" s="34" t="s">
        <v>15</v>
      </c>
    </row>
    <row r="33" spans="1:6" ht="12.75">
      <c r="A33" s="60" t="s">
        <v>71</v>
      </c>
      <c r="B33" s="198" t="s">
        <v>51</v>
      </c>
      <c r="C33" s="80" t="s">
        <v>52</v>
      </c>
      <c r="D33" s="3"/>
      <c r="E33" s="72"/>
      <c r="F33" s="4"/>
    </row>
    <row r="34" spans="1:6" ht="15.75">
      <c r="A34" s="20" t="s">
        <v>53</v>
      </c>
      <c r="B34" s="78">
        <v>0</v>
      </c>
      <c r="C34" s="79">
        <v>1</v>
      </c>
      <c r="D34" s="19" t="s">
        <v>54</v>
      </c>
      <c r="E34" s="22">
        <f>B34*E21</f>
        <v>0</v>
      </c>
      <c r="F34" s="6" t="s">
        <v>55</v>
      </c>
    </row>
    <row r="35" spans="1:6" ht="15.75">
      <c r="A35" s="20" t="s">
        <v>107</v>
      </c>
      <c r="B35" s="24">
        <v>0</v>
      </c>
      <c r="C35" s="25">
        <v>1</v>
      </c>
      <c r="D35" s="19" t="s">
        <v>57</v>
      </c>
      <c r="E35" s="22">
        <f aca="true" t="shared" si="1" ref="E35:E41">B35*C35*$E$21</f>
        <v>0</v>
      </c>
      <c r="F35" s="6" t="s">
        <v>15</v>
      </c>
    </row>
    <row r="36" spans="1:6" ht="15.75">
      <c r="A36" s="20" t="s">
        <v>59</v>
      </c>
      <c r="B36" s="24">
        <v>0</v>
      </c>
      <c r="C36" s="25">
        <v>1</v>
      </c>
      <c r="D36" s="19" t="s">
        <v>60</v>
      </c>
      <c r="E36" s="22">
        <f t="shared" si="1"/>
        <v>0</v>
      </c>
      <c r="F36" s="6" t="s">
        <v>15</v>
      </c>
    </row>
    <row r="37" spans="1:6" ht="15.75">
      <c r="A37" s="20" t="s">
        <v>61</v>
      </c>
      <c r="B37" s="24">
        <v>0</v>
      </c>
      <c r="C37" s="25">
        <v>1</v>
      </c>
      <c r="D37" s="19" t="s">
        <v>62</v>
      </c>
      <c r="E37" s="22">
        <f t="shared" si="1"/>
        <v>0</v>
      </c>
      <c r="F37" s="6" t="s">
        <v>15</v>
      </c>
    </row>
    <row r="38" spans="1:6" ht="15.75">
      <c r="A38" s="20" t="s">
        <v>63</v>
      </c>
      <c r="B38" s="24">
        <v>0</v>
      </c>
      <c r="C38" s="25">
        <v>1</v>
      </c>
      <c r="D38" s="19" t="s">
        <v>64</v>
      </c>
      <c r="E38" s="22">
        <f t="shared" si="1"/>
        <v>0</v>
      </c>
      <c r="F38" s="6" t="s">
        <v>15</v>
      </c>
    </row>
    <row r="39" spans="1:6" ht="15.75">
      <c r="A39" s="20" t="s">
        <v>65</v>
      </c>
      <c r="B39" s="24">
        <v>0</v>
      </c>
      <c r="C39" s="25">
        <v>1</v>
      </c>
      <c r="D39" s="19" t="s">
        <v>66</v>
      </c>
      <c r="E39" s="22">
        <f t="shared" si="1"/>
        <v>0</v>
      </c>
      <c r="F39" s="6" t="s">
        <v>15</v>
      </c>
    </row>
    <row r="40" spans="1:6" ht="15.75">
      <c r="A40" s="20" t="s">
        <v>67</v>
      </c>
      <c r="B40" s="24">
        <v>0</v>
      </c>
      <c r="C40" s="25">
        <v>1</v>
      </c>
      <c r="D40" s="19" t="s">
        <v>68</v>
      </c>
      <c r="E40" s="22">
        <f t="shared" si="1"/>
        <v>0</v>
      </c>
      <c r="F40" s="6" t="s">
        <v>15</v>
      </c>
    </row>
    <row r="41" spans="1:6" ht="16.5" thickBot="1">
      <c r="A41" s="69" t="s">
        <v>69</v>
      </c>
      <c r="B41" s="70">
        <v>0</v>
      </c>
      <c r="C41" s="71">
        <v>1</v>
      </c>
      <c r="D41" s="19" t="s">
        <v>70</v>
      </c>
      <c r="E41" s="33">
        <f t="shared" si="1"/>
        <v>0</v>
      </c>
      <c r="F41" s="34" t="s">
        <v>15</v>
      </c>
    </row>
    <row r="42" spans="1:6" ht="16.5" thickBot="1">
      <c r="A42" s="27"/>
      <c r="C42" s="143"/>
      <c r="D42" s="112" t="s">
        <v>76</v>
      </c>
      <c r="E42" s="209">
        <f>SUM(E25:E41)</f>
        <v>0.26972218789642677</v>
      </c>
      <c r="F42" s="85" t="s">
        <v>15</v>
      </c>
    </row>
    <row r="43" spans="1:6" ht="13.5" thickBot="1">
      <c r="A43" s="27"/>
      <c r="B43" s="10"/>
      <c r="C43" s="28" t="s">
        <v>77</v>
      </c>
      <c r="F43" s="6"/>
    </row>
    <row r="44" spans="1:6" ht="13.5" thickBot="1">
      <c r="A44" s="30"/>
      <c r="B44" s="31"/>
      <c r="C44" s="143"/>
      <c r="D44" s="144" t="s">
        <v>294</v>
      </c>
      <c r="E44" s="145">
        <f>B12*(E6-E7+E9-E10-E42)</f>
        <v>-18.022468329079935</v>
      </c>
      <c r="F44" s="36" t="s">
        <v>17</v>
      </c>
    </row>
    <row r="46" ht="14.25">
      <c r="A46" s="220" t="s">
        <v>299</v>
      </c>
    </row>
    <row r="47" ht="12.75">
      <c r="A47" s="217" t="s">
        <v>296</v>
      </c>
    </row>
  </sheetData>
  <sheetProtection/>
  <printOptions/>
  <pageMargins left="0.75" right="0.75" top="1" bottom="0.7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7">
      <selection activeCell="B7" sqref="B7"/>
    </sheetView>
  </sheetViews>
  <sheetFormatPr defaultColWidth="9.140625" defaultRowHeight="12.75"/>
  <cols>
    <col min="1" max="1" width="19.57421875" style="0" customWidth="1"/>
    <col min="2" max="2" width="8.7109375" style="0" customWidth="1"/>
    <col min="3" max="3" width="6.7109375" style="0" customWidth="1"/>
    <col min="4" max="4" width="18.7109375" style="0" customWidth="1"/>
    <col min="5" max="5" width="8.7109375" style="0" customWidth="1"/>
    <col min="6" max="6" width="24.7109375" style="0" customWidth="1"/>
    <col min="7" max="7" width="19.7109375" style="0" customWidth="1"/>
  </cols>
  <sheetData>
    <row r="1" spans="1:6" ht="13.5" thickBot="1">
      <c r="A1" s="35" t="s">
        <v>0</v>
      </c>
      <c r="B1" s="36"/>
      <c r="C1" s="196" t="s">
        <v>121</v>
      </c>
      <c r="D1" s="74"/>
      <c r="E1" s="74"/>
      <c r="F1" s="110"/>
    </row>
    <row r="2" spans="1:6" ht="13.5" thickBot="1">
      <c r="A2" s="1" t="s">
        <v>112</v>
      </c>
      <c r="B2" s="2"/>
      <c r="C2" s="41" t="s">
        <v>3</v>
      </c>
      <c r="D2" s="37"/>
      <c r="E2" s="37"/>
      <c r="F2" s="73"/>
    </row>
    <row r="3" spans="1:6" ht="12.75">
      <c r="A3" s="45" t="s">
        <v>122</v>
      </c>
      <c r="B3" s="46"/>
      <c r="C3" s="42" t="s">
        <v>86</v>
      </c>
      <c r="D3" s="7" t="s">
        <v>123</v>
      </c>
      <c r="E3" s="8"/>
      <c r="F3" s="26"/>
    </row>
    <row r="4" spans="1:6" ht="13.5" thickBot="1">
      <c r="A4" s="38" t="s">
        <v>124</v>
      </c>
      <c r="B4" s="39"/>
      <c r="C4" s="43" t="s">
        <v>89</v>
      </c>
      <c r="D4" s="40" t="s">
        <v>125</v>
      </c>
      <c r="E4" s="39"/>
      <c r="F4" s="44"/>
    </row>
    <row r="5" spans="1:6" ht="13.5" thickBot="1">
      <c r="A5" s="9" t="s">
        <v>10</v>
      </c>
      <c r="B5" s="5" t="s">
        <v>126</v>
      </c>
      <c r="C5" s="10"/>
      <c r="D5" s="10"/>
      <c r="E5" s="10"/>
      <c r="F5" s="6"/>
    </row>
    <row r="6" spans="1:6" ht="14.25">
      <c r="A6" s="47" t="s">
        <v>12</v>
      </c>
      <c r="B6" s="48">
        <v>0.13363</v>
      </c>
      <c r="C6" s="49" t="s">
        <v>92</v>
      </c>
      <c r="D6" s="47" t="s">
        <v>14</v>
      </c>
      <c r="E6" s="48">
        <v>0</v>
      </c>
      <c r="F6" s="49" t="s">
        <v>93</v>
      </c>
    </row>
    <row r="7" spans="1:6" ht="13.5" thickBot="1">
      <c r="A7" s="11" t="s">
        <v>16</v>
      </c>
      <c r="B7" s="24">
        <f>B8-E43</f>
        <v>212.77087028467074</v>
      </c>
      <c r="C7" s="50" t="s">
        <v>94</v>
      </c>
      <c r="D7" s="51" t="s">
        <v>18</v>
      </c>
      <c r="E7" s="52">
        <v>25</v>
      </c>
      <c r="F7" s="53" t="s">
        <v>93</v>
      </c>
    </row>
    <row r="8" spans="1:6" ht="12.75">
      <c r="A8" s="11" t="s">
        <v>19</v>
      </c>
      <c r="B8" s="121">
        <v>200</v>
      </c>
      <c r="C8" s="146" t="s">
        <v>94</v>
      </c>
      <c r="D8" s="88" t="s">
        <v>20</v>
      </c>
      <c r="E8" s="122"/>
      <c r="F8" s="26"/>
    </row>
    <row r="9" spans="1:6" ht="12.75">
      <c r="A9" s="11" t="s">
        <v>21</v>
      </c>
      <c r="B9" s="24">
        <f>B20</f>
        <v>5.731173184314223</v>
      </c>
      <c r="C9" s="50" t="s">
        <v>103</v>
      </c>
      <c r="D9" s="55" t="s">
        <v>23</v>
      </c>
      <c r="E9" s="81">
        <f>B9^2/(2*32.2)</f>
        <v>0.5100364296366836</v>
      </c>
      <c r="F9" s="56" t="s">
        <v>93</v>
      </c>
    </row>
    <row r="10" spans="1:6" ht="13.5" thickBot="1">
      <c r="A10" s="51" t="s">
        <v>24</v>
      </c>
      <c r="B10" s="70">
        <f>B20</f>
        <v>5.731173184314223</v>
      </c>
      <c r="C10" s="53" t="s">
        <v>103</v>
      </c>
      <c r="D10" s="57" t="s">
        <v>25</v>
      </c>
      <c r="E10" s="82">
        <f>B10^2/(2*32.2)</f>
        <v>0.5100364296366836</v>
      </c>
      <c r="F10" s="59" t="s">
        <v>93</v>
      </c>
    </row>
    <row r="11" spans="1:6" ht="12.75">
      <c r="A11" s="60" t="s">
        <v>26</v>
      </c>
      <c r="B11" s="3"/>
      <c r="C11" s="3"/>
      <c r="D11" s="6" t="s">
        <v>283</v>
      </c>
      <c r="E11" s="61"/>
      <c r="F11" s="62"/>
    </row>
    <row r="12" spans="1:6" ht="15" thickBot="1">
      <c r="A12" s="51" t="s">
        <v>27</v>
      </c>
      <c r="B12" s="52">
        <v>56.16</v>
      </c>
      <c r="C12" s="52" t="s">
        <v>97</v>
      </c>
      <c r="D12" s="63" t="s">
        <v>29</v>
      </c>
      <c r="E12" s="64">
        <v>3.44E-05</v>
      </c>
      <c r="F12" s="53" t="s">
        <v>98</v>
      </c>
    </row>
    <row r="13" spans="1:6" ht="12.75">
      <c r="A13" s="65" t="s">
        <v>127</v>
      </c>
      <c r="B13" s="48"/>
      <c r="C13" s="49"/>
      <c r="D13" s="65" t="s">
        <v>115</v>
      </c>
      <c r="E13" s="68"/>
      <c r="F13" s="49"/>
    </row>
    <row r="14" spans="1:6" ht="12.75">
      <c r="A14" s="11" t="s">
        <v>33</v>
      </c>
      <c r="B14" s="12">
        <v>0.1723</v>
      </c>
      <c r="C14" s="50" t="s">
        <v>93</v>
      </c>
      <c r="D14" s="11" t="s">
        <v>33</v>
      </c>
      <c r="E14" s="12">
        <f>B14</f>
        <v>0.1723</v>
      </c>
      <c r="F14" s="50" t="s">
        <v>93</v>
      </c>
    </row>
    <row r="15" spans="1:6" ht="12.75">
      <c r="A15" s="11" t="s">
        <v>34</v>
      </c>
      <c r="B15" s="15">
        <v>0.00015</v>
      </c>
      <c r="C15" s="50" t="s">
        <v>93</v>
      </c>
      <c r="D15" s="11" t="s">
        <v>34</v>
      </c>
      <c r="E15" s="15">
        <f>B15</f>
        <v>0.00015</v>
      </c>
      <c r="F15" s="50" t="s">
        <v>287</v>
      </c>
    </row>
    <row r="16" spans="1:6" ht="12.75">
      <c r="A16" s="11" t="s">
        <v>35</v>
      </c>
      <c r="B16" s="16">
        <v>50</v>
      </c>
      <c r="C16" s="50" t="s">
        <v>93</v>
      </c>
      <c r="D16" s="11" t="s">
        <v>35</v>
      </c>
      <c r="E16" s="16">
        <v>0</v>
      </c>
      <c r="F16" s="50" t="s">
        <v>93</v>
      </c>
    </row>
    <row r="17" spans="1:6" ht="14.25">
      <c r="A17" s="17" t="s">
        <v>36</v>
      </c>
      <c r="B17" s="18">
        <f>PI()*B14^2/4</f>
        <v>0.023316343042247435</v>
      </c>
      <c r="C17" s="6" t="s">
        <v>101</v>
      </c>
      <c r="D17" s="17" t="s">
        <v>36</v>
      </c>
      <c r="E17" s="18">
        <f>PI()*E14^2/4</f>
        <v>0.023316343042247435</v>
      </c>
      <c r="F17" s="6" t="s">
        <v>128</v>
      </c>
    </row>
    <row r="18" spans="1:6" ht="12.75">
      <c r="A18" s="20" t="s">
        <v>39</v>
      </c>
      <c r="B18" s="21">
        <f>B14/B15</f>
        <v>1148.6666666666667</v>
      </c>
      <c r="C18" s="6"/>
      <c r="D18" s="20" t="s">
        <v>39</v>
      </c>
      <c r="E18" s="21">
        <f>E14/E15</f>
        <v>1148.6666666666667</v>
      </c>
      <c r="F18" s="76" t="s">
        <v>40</v>
      </c>
    </row>
    <row r="19" spans="1:6" ht="12.75">
      <c r="A19" s="20" t="s">
        <v>41</v>
      </c>
      <c r="B19" s="21">
        <f>B16/B14</f>
        <v>290.1915264074289</v>
      </c>
      <c r="C19" s="6"/>
      <c r="D19" s="20" t="s">
        <v>41</v>
      </c>
      <c r="E19" s="21">
        <f>E16/E14</f>
        <v>0</v>
      </c>
      <c r="F19" s="6"/>
    </row>
    <row r="20" spans="1:6" ht="12.75">
      <c r="A20" s="17" t="s">
        <v>42</v>
      </c>
      <c r="B20" s="22">
        <f>B6/B17</f>
        <v>5.731173184314223</v>
      </c>
      <c r="C20" s="6" t="s">
        <v>103</v>
      </c>
      <c r="D20" s="17" t="s">
        <v>42</v>
      </c>
      <c r="E20" s="22">
        <f>B6/E17</f>
        <v>5.731173184314223</v>
      </c>
      <c r="F20" s="6" t="s">
        <v>129</v>
      </c>
    </row>
    <row r="21" spans="1:6" ht="12.75">
      <c r="A21" s="17" t="s">
        <v>45</v>
      </c>
      <c r="B21" s="23">
        <f>B20^2/(2*32.2)</f>
        <v>0.5100364296366836</v>
      </c>
      <c r="C21" s="6" t="s">
        <v>93</v>
      </c>
      <c r="D21" s="17" t="s">
        <v>45</v>
      </c>
      <c r="E21" s="23">
        <f>E20^2/(2*32.2)</f>
        <v>0.5100364296366836</v>
      </c>
      <c r="F21" s="6" t="s">
        <v>130</v>
      </c>
    </row>
    <row r="22" spans="1:6" ht="15.75">
      <c r="A22" s="17" t="s">
        <v>47</v>
      </c>
      <c r="B22" s="18">
        <f>B20*B14/E12</f>
        <v>28705.847083062225</v>
      </c>
      <c r="C22" s="6"/>
      <c r="D22" s="17" t="s">
        <v>47</v>
      </c>
      <c r="E22" s="18">
        <f>E20*E14/E12</f>
        <v>28705.847083062225</v>
      </c>
      <c r="F22" s="6" t="s">
        <v>118</v>
      </c>
    </row>
    <row r="23" spans="1:6" ht="13.5" thickBot="1">
      <c r="A23" s="66" t="s">
        <v>49</v>
      </c>
      <c r="B23" s="67">
        <f>0.25/(LOG10(1/(3.7*B18)+5.74/B22^0.9))^2</f>
        <v>0.026006272753644963</v>
      </c>
      <c r="C23" s="34"/>
      <c r="D23" s="66" t="s">
        <v>49</v>
      </c>
      <c r="E23" s="67">
        <f>0.25/(LOG10(1/(3.7*E18)+5.74/E22^0.9))^2</f>
        <v>0.026006272753644963</v>
      </c>
      <c r="F23" s="76" t="s">
        <v>286</v>
      </c>
    </row>
    <row r="24" spans="1:6" ht="12.75">
      <c r="A24" s="60" t="s">
        <v>50</v>
      </c>
      <c r="B24" s="198" t="s">
        <v>51</v>
      </c>
      <c r="C24" s="80" t="s">
        <v>52</v>
      </c>
      <c r="D24" s="3"/>
      <c r="E24" s="3"/>
      <c r="F24" s="4"/>
    </row>
    <row r="25" spans="1:6" ht="15.75">
      <c r="A25" s="20" t="s">
        <v>53</v>
      </c>
      <c r="B25" s="81">
        <f>B23*B19</f>
        <v>7.546799986548161</v>
      </c>
      <c r="C25" s="201">
        <v>1</v>
      </c>
      <c r="D25" s="19" t="s">
        <v>54</v>
      </c>
      <c r="E25" s="22">
        <f>B25*$B$21</f>
        <v>3.849142920321196</v>
      </c>
      <c r="F25" s="6" t="s">
        <v>131</v>
      </c>
    </row>
    <row r="26" spans="1:6" ht="15.75">
      <c r="A26" s="20" t="s">
        <v>132</v>
      </c>
      <c r="B26" s="24">
        <v>6.5</v>
      </c>
      <c r="C26" s="25">
        <v>1</v>
      </c>
      <c r="D26" s="19" t="s">
        <v>57</v>
      </c>
      <c r="E26" s="22">
        <f aca="true" t="shared" si="0" ref="E26:E32">B26*C26*$B$21</f>
        <v>3.3152367926384434</v>
      </c>
      <c r="F26" s="6" t="s">
        <v>93</v>
      </c>
    </row>
    <row r="27" spans="1:6" ht="15.75">
      <c r="A27" s="20" t="s">
        <v>133</v>
      </c>
      <c r="B27" s="24">
        <v>0.57</v>
      </c>
      <c r="C27" s="25">
        <v>2</v>
      </c>
      <c r="D27" s="19" t="s">
        <v>60</v>
      </c>
      <c r="E27" s="22">
        <f t="shared" si="0"/>
        <v>0.5814415297858193</v>
      </c>
      <c r="F27" s="6" t="s">
        <v>134</v>
      </c>
    </row>
    <row r="28" spans="1:6" ht="15.75">
      <c r="A28" s="20" t="s">
        <v>61</v>
      </c>
      <c r="B28" s="24">
        <v>0</v>
      </c>
      <c r="C28" s="25">
        <v>1</v>
      </c>
      <c r="D28" s="19" t="s">
        <v>62</v>
      </c>
      <c r="E28" s="22">
        <f t="shared" si="0"/>
        <v>0</v>
      </c>
      <c r="F28" s="6" t="s">
        <v>93</v>
      </c>
    </row>
    <row r="29" spans="1:6" ht="15.75">
      <c r="A29" s="20" t="s">
        <v>63</v>
      </c>
      <c r="B29" s="24">
        <v>0</v>
      </c>
      <c r="C29" s="25">
        <v>1</v>
      </c>
      <c r="D29" s="19" t="s">
        <v>64</v>
      </c>
      <c r="E29" s="22">
        <f t="shared" si="0"/>
        <v>0</v>
      </c>
      <c r="F29" s="6" t="s">
        <v>93</v>
      </c>
    </row>
    <row r="30" spans="1:6" ht="15.75">
      <c r="A30" s="20" t="s">
        <v>65</v>
      </c>
      <c r="B30" s="24">
        <v>0</v>
      </c>
      <c r="C30" s="25">
        <v>1</v>
      </c>
      <c r="D30" s="19" t="s">
        <v>66</v>
      </c>
      <c r="E30" s="22">
        <f t="shared" si="0"/>
        <v>0</v>
      </c>
      <c r="F30" s="6" t="s">
        <v>93</v>
      </c>
    </row>
    <row r="31" spans="1:6" ht="15.75">
      <c r="A31" s="20" t="s">
        <v>67</v>
      </c>
      <c r="B31" s="24">
        <v>0</v>
      </c>
      <c r="C31" s="25">
        <v>1</v>
      </c>
      <c r="D31" s="19" t="s">
        <v>68</v>
      </c>
      <c r="E31" s="22">
        <f t="shared" si="0"/>
        <v>0</v>
      </c>
      <c r="F31" s="6" t="s">
        <v>93</v>
      </c>
    </row>
    <row r="32" spans="1:6" ht="16.5" thickBot="1">
      <c r="A32" s="69" t="s">
        <v>69</v>
      </c>
      <c r="B32" s="70">
        <v>0</v>
      </c>
      <c r="C32" s="71">
        <v>1</v>
      </c>
      <c r="D32" s="19" t="s">
        <v>70</v>
      </c>
      <c r="E32" s="22">
        <f t="shared" si="0"/>
        <v>0</v>
      </c>
      <c r="F32" s="34" t="s">
        <v>93</v>
      </c>
    </row>
    <row r="33" spans="1:6" ht="12.75">
      <c r="A33" s="60" t="s">
        <v>135</v>
      </c>
      <c r="B33" s="3"/>
      <c r="C33" s="80" t="s">
        <v>52</v>
      </c>
      <c r="D33" s="3"/>
      <c r="E33" s="72"/>
      <c r="F33" s="4"/>
    </row>
    <row r="34" spans="1:6" ht="15.75">
      <c r="A34" s="20" t="s">
        <v>53</v>
      </c>
      <c r="B34" s="78">
        <v>0</v>
      </c>
      <c r="C34" s="79">
        <v>1</v>
      </c>
      <c r="D34" s="19" t="s">
        <v>54</v>
      </c>
      <c r="E34" s="22">
        <f>B34*E21</f>
        <v>0</v>
      </c>
      <c r="F34" s="6" t="s">
        <v>93</v>
      </c>
    </row>
    <row r="35" spans="1:6" ht="15.75">
      <c r="A35" s="20" t="s">
        <v>107</v>
      </c>
      <c r="B35" s="24">
        <v>0</v>
      </c>
      <c r="C35" s="25">
        <v>1</v>
      </c>
      <c r="D35" s="19" t="s">
        <v>57</v>
      </c>
      <c r="E35" s="22">
        <f aca="true" t="shared" si="1" ref="E35:E41">B35*C35*$E$21</f>
        <v>0</v>
      </c>
      <c r="F35" s="6" t="s">
        <v>93</v>
      </c>
    </row>
    <row r="36" spans="1:6" ht="15.75">
      <c r="A36" s="20" t="s">
        <v>59</v>
      </c>
      <c r="B36" s="24">
        <v>0</v>
      </c>
      <c r="C36" s="25">
        <v>1</v>
      </c>
      <c r="D36" s="19" t="s">
        <v>60</v>
      </c>
      <c r="E36" s="22">
        <f t="shared" si="1"/>
        <v>0</v>
      </c>
      <c r="F36" s="6" t="s">
        <v>93</v>
      </c>
    </row>
    <row r="37" spans="1:6" ht="15.75">
      <c r="A37" s="20" t="s">
        <v>61</v>
      </c>
      <c r="B37" s="24">
        <v>0</v>
      </c>
      <c r="C37" s="25">
        <v>1</v>
      </c>
      <c r="D37" s="19" t="s">
        <v>62</v>
      </c>
      <c r="E37" s="22">
        <f t="shared" si="1"/>
        <v>0</v>
      </c>
      <c r="F37" s="6" t="s">
        <v>93</v>
      </c>
    </row>
    <row r="38" spans="1:6" ht="15.75">
      <c r="A38" s="20" t="s">
        <v>63</v>
      </c>
      <c r="B38" s="24">
        <v>0</v>
      </c>
      <c r="C38" s="25">
        <v>1</v>
      </c>
      <c r="D38" s="19" t="s">
        <v>64</v>
      </c>
      <c r="E38" s="22">
        <f t="shared" si="1"/>
        <v>0</v>
      </c>
      <c r="F38" s="6" t="s">
        <v>93</v>
      </c>
    </row>
    <row r="39" spans="1:6" ht="15.75">
      <c r="A39" s="20" t="s">
        <v>65</v>
      </c>
      <c r="B39" s="24">
        <v>0</v>
      </c>
      <c r="C39" s="25">
        <v>1</v>
      </c>
      <c r="D39" s="19" t="s">
        <v>66</v>
      </c>
      <c r="E39" s="22">
        <f t="shared" si="1"/>
        <v>0</v>
      </c>
      <c r="F39" s="6" t="s">
        <v>93</v>
      </c>
    </row>
    <row r="40" spans="1:6" ht="15.75">
      <c r="A40" s="20" t="s">
        <v>67</v>
      </c>
      <c r="B40" s="24">
        <v>0</v>
      </c>
      <c r="C40" s="25">
        <v>1</v>
      </c>
      <c r="D40" s="19" t="s">
        <v>68</v>
      </c>
      <c r="E40" s="22">
        <f t="shared" si="1"/>
        <v>0</v>
      </c>
      <c r="F40" s="6" t="s">
        <v>93</v>
      </c>
    </row>
    <row r="41" spans="1:6" ht="16.5" thickBot="1">
      <c r="A41" s="69" t="s">
        <v>69</v>
      </c>
      <c r="B41" s="70">
        <v>0</v>
      </c>
      <c r="C41" s="71">
        <v>1</v>
      </c>
      <c r="D41" s="19" t="s">
        <v>70</v>
      </c>
      <c r="E41" s="33">
        <f t="shared" si="1"/>
        <v>0</v>
      </c>
      <c r="F41" s="34" t="s">
        <v>93</v>
      </c>
    </row>
    <row r="42" spans="1:6" ht="16.5" thickBot="1">
      <c r="A42" s="27"/>
      <c r="C42" s="143"/>
      <c r="D42" s="112" t="s">
        <v>76</v>
      </c>
      <c r="E42" s="113">
        <f>SUM(E25:E41)</f>
        <v>7.74582124274546</v>
      </c>
      <c r="F42" s="85" t="s">
        <v>93</v>
      </c>
    </row>
    <row r="43" spans="1:6" ht="13.5" thickBot="1">
      <c r="A43" s="27"/>
      <c r="B43" s="28" t="s">
        <v>77</v>
      </c>
      <c r="C43" s="195" t="s">
        <v>136</v>
      </c>
      <c r="D43" s="176"/>
      <c r="E43" s="145">
        <f>B12*(E6-E7+E9-E10-E42)/144</f>
        <v>-12.770870284670728</v>
      </c>
      <c r="F43" s="85" t="s">
        <v>137</v>
      </c>
    </row>
    <row r="44" spans="1:6" ht="13.5" thickBot="1">
      <c r="A44" s="30"/>
      <c r="B44" s="31"/>
      <c r="C44" s="143"/>
      <c r="D44" s="144" t="s">
        <v>120</v>
      </c>
      <c r="E44" s="145">
        <f>B7+B12*(E6-E7+E9-E10-E42)/144</f>
        <v>200</v>
      </c>
      <c r="F44" s="36" t="s">
        <v>94</v>
      </c>
    </row>
  </sheetData>
  <sheetProtection/>
  <printOptions/>
  <pageMargins left="0.75" right="0.75" top="1" bottom="0.75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0.00390625" style="0" customWidth="1"/>
    <col min="2" max="2" width="8.7109375" style="0" customWidth="1"/>
    <col min="3" max="3" width="6.7109375" style="0" customWidth="1"/>
    <col min="4" max="4" width="18.7109375" style="0" customWidth="1"/>
    <col min="5" max="5" width="8.7109375" style="0" customWidth="1"/>
    <col min="6" max="6" width="24.7109375" style="0" customWidth="1"/>
    <col min="7" max="7" width="19.421875" style="0" customWidth="1"/>
  </cols>
  <sheetData>
    <row r="1" spans="1:6" ht="13.5" thickBot="1">
      <c r="A1" s="35" t="s">
        <v>0</v>
      </c>
      <c r="B1" s="85"/>
      <c r="C1" s="197" t="s">
        <v>138</v>
      </c>
      <c r="D1" s="86"/>
      <c r="E1" s="86"/>
      <c r="F1" s="164"/>
    </row>
    <row r="2" spans="1:6" ht="13.5" thickBot="1">
      <c r="A2" s="35" t="s">
        <v>139</v>
      </c>
      <c r="B2" s="85"/>
      <c r="C2" s="87" t="s">
        <v>140</v>
      </c>
      <c r="D2" s="10"/>
      <c r="E2" s="10"/>
      <c r="F2" s="6"/>
    </row>
    <row r="3" spans="1:6" ht="12.75">
      <c r="A3" s="88" t="s">
        <v>141</v>
      </c>
      <c r="B3" s="26"/>
      <c r="C3" s="27" t="s">
        <v>142</v>
      </c>
      <c r="D3" s="10"/>
      <c r="E3" s="10"/>
      <c r="F3" s="6"/>
    </row>
    <row r="4" spans="1:6" ht="13.5" thickBot="1">
      <c r="A4" s="89" t="s">
        <v>143</v>
      </c>
      <c r="B4" s="44"/>
      <c r="C4" s="30" t="s">
        <v>144</v>
      </c>
      <c r="D4" s="31"/>
      <c r="E4" s="31"/>
      <c r="F4" s="34"/>
    </row>
    <row r="5" spans="1:6" ht="13.5" thickBot="1">
      <c r="A5" s="90" t="s">
        <v>10</v>
      </c>
      <c r="B5" s="91" t="s">
        <v>11</v>
      </c>
      <c r="C5" s="92"/>
      <c r="D5" s="92"/>
      <c r="E5" s="92"/>
      <c r="F5" s="85"/>
    </row>
    <row r="6" spans="1:6" ht="12.75">
      <c r="A6" s="47" t="s">
        <v>16</v>
      </c>
      <c r="B6" s="48">
        <v>120</v>
      </c>
      <c r="C6" s="46" t="s">
        <v>17</v>
      </c>
      <c r="D6" s="47" t="s">
        <v>14</v>
      </c>
      <c r="E6" s="48">
        <v>0</v>
      </c>
      <c r="F6" s="93" t="s">
        <v>15</v>
      </c>
    </row>
    <row r="7" spans="1:6" ht="13.5" thickBot="1">
      <c r="A7" s="51" t="s">
        <v>19</v>
      </c>
      <c r="B7" s="52">
        <v>60</v>
      </c>
      <c r="C7" s="39" t="s">
        <v>17</v>
      </c>
      <c r="D7" s="51" t="s">
        <v>18</v>
      </c>
      <c r="E7" s="52">
        <v>0</v>
      </c>
      <c r="F7" s="44" t="s">
        <v>15</v>
      </c>
    </row>
    <row r="8" spans="1:6" ht="16.5" thickBot="1">
      <c r="A8" s="95" t="s">
        <v>145</v>
      </c>
      <c r="B8" s="205">
        <f>(B6-B7)/B10+E6-E7</f>
        <v>6.950236308034474</v>
      </c>
      <c r="C8" s="97" t="s">
        <v>15</v>
      </c>
      <c r="D8" s="98"/>
      <c r="E8" s="99"/>
      <c r="F8" s="100"/>
    </row>
    <row r="9" spans="1:6" ht="12.75">
      <c r="A9" s="9" t="s">
        <v>26</v>
      </c>
      <c r="B9" s="10"/>
      <c r="C9" s="10"/>
      <c r="D9" s="4" t="s">
        <v>288</v>
      </c>
      <c r="E9" s="10"/>
      <c r="F9" s="6"/>
    </row>
    <row r="10" spans="1:6" ht="15" thickBot="1">
      <c r="A10" s="51" t="s">
        <v>27</v>
      </c>
      <c r="B10" s="70">
        <v>8.6328</v>
      </c>
      <c r="C10" s="52" t="s">
        <v>28</v>
      </c>
      <c r="D10" s="63" t="s">
        <v>29</v>
      </c>
      <c r="E10" s="64">
        <v>1.08E-05</v>
      </c>
      <c r="F10" s="53" t="s">
        <v>30</v>
      </c>
    </row>
    <row r="11" spans="1:6" ht="12.75">
      <c r="A11" s="147" t="s">
        <v>146</v>
      </c>
      <c r="B11" s="46"/>
      <c r="C11" s="93"/>
      <c r="D11" s="54"/>
      <c r="E11" s="3"/>
      <c r="F11" s="4"/>
    </row>
    <row r="12" spans="1:6" ht="12.75">
      <c r="A12" s="11" t="s">
        <v>33</v>
      </c>
      <c r="B12" s="12">
        <v>0.1541</v>
      </c>
      <c r="C12" s="50" t="s">
        <v>15</v>
      </c>
      <c r="D12" s="27"/>
      <c r="E12" s="10"/>
      <c r="F12" s="6"/>
    </row>
    <row r="13" spans="1:6" ht="12.75">
      <c r="A13" s="11" t="s">
        <v>147</v>
      </c>
      <c r="B13" s="15">
        <v>4.6E-05</v>
      </c>
      <c r="C13" s="50" t="s">
        <v>15</v>
      </c>
      <c r="D13" s="27"/>
      <c r="E13" s="10"/>
      <c r="F13" s="6"/>
    </row>
    <row r="14" spans="1:6" ht="12.75">
      <c r="A14" s="11" t="s">
        <v>35</v>
      </c>
      <c r="B14" s="12">
        <v>100</v>
      </c>
      <c r="C14" s="50" t="s">
        <v>15</v>
      </c>
      <c r="D14" s="9" t="s">
        <v>148</v>
      </c>
      <c r="E14" s="10"/>
      <c r="F14" s="6"/>
    </row>
    <row r="15" spans="1:6" ht="14.25">
      <c r="A15" s="55" t="s">
        <v>149</v>
      </c>
      <c r="B15" s="203">
        <f>PI()*B12^2/4</f>
        <v>0.018650700960548158</v>
      </c>
      <c r="C15" s="206" t="s">
        <v>37</v>
      </c>
      <c r="D15" s="17" t="s">
        <v>150</v>
      </c>
      <c r="E15" s="103">
        <f>-2.22*B12^2*SQRT(9.81*B12*B8/B14)*LOG10(0.27027/B16+1.784*E10/(B12*SQRT(9.81*B12*B8/B14)))</f>
        <v>0.056924520218830786</v>
      </c>
      <c r="F15" s="6" t="s">
        <v>151</v>
      </c>
    </row>
    <row r="16" spans="1:6" ht="13.5" thickBot="1">
      <c r="A16" s="104" t="s">
        <v>152</v>
      </c>
      <c r="B16" s="204">
        <f>B12/B13</f>
        <v>3349.9999999999995</v>
      </c>
      <c r="C16" s="207"/>
      <c r="D16" s="66" t="s">
        <v>153</v>
      </c>
      <c r="E16" s="33">
        <f>E15/B15</f>
        <v>3.0521383801736603</v>
      </c>
      <c r="F16" s="34" t="s">
        <v>43</v>
      </c>
    </row>
    <row r="17" spans="1:6" ht="13.5" thickBot="1">
      <c r="A17" s="102"/>
      <c r="B17" s="102"/>
      <c r="C17" s="102"/>
      <c r="D17" s="19"/>
      <c r="E17" s="22"/>
      <c r="F17" s="10"/>
    </row>
    <row r="18" spans="1:6" ht="15" thickBot="1">
      <c r="A18" s="120" t="s">
        <v>154</v>
      </c>
      <c r="B18" s="74"/>
      <c r="C18" s="110"/>
      <c r="D18" s="47" t="s">
        <v>12</v>
      </c>
      <c r="E18" s="48">
        <v>0.0538</v>
      </c>
      <c r="F18" s="49" t="s">
        <v>13</v>
      </c>
    </row>
    <row r="19" spans="1:6" ht="15.75">
      <c r="A19" s="115" t="s">
        <v>155</v>
      </c>
      <c r="B19" s="13"/>
      <c r="C19" s="116"/>
      <c r="D19" s="17" t="s">
        <v>156</v>
      </c>
      <c r="E19" s="10">
        <f>B6</f>
        <v>120</v>
      </c>
      <c r="F19" s="6" t="s">
        <v>17</v>
      </c>
    </row>
    <row r="20" spans="1:6" ht="14.25">
      <c r="A20" s="114" t="s">
        <v>157</v>
      </c>
      <c r="B20" s="7"/>
      <c r="C20" s="26"/>
      <c r="D20" s="156" t="s">
        <v>158</v>
      </c>
      <c r="E20" s="157">
        <f>B6+B10*(E6-E7+E26-E27-E37)</f>
        <v>60.18188923809187</v>
      </c>
      <c r="F20" s="124" t="s">
        <v>17</v>
      </c>
    </row>
    <row r="21" spans="1:6" ht="13.5" thickBot="1">
      <c r="A21" s="94" t="s">
        <v>159</v>
      </c>
      <c r="B21" s="39"/>
      <c r="C21" s="44"/>
      <c r="D21" s="111" t="s">
        <v>160</v>
      </c>
      <c r="E21" s="5">
        <f>B7</f>
        <v>60</v>
      </c>
      <c r="F21" s="124" t="s">
        <v>17</v>
      </c>
    </row>
    <row r="22" spans="1:6" ht="14.25">
      <c r="A22" s="117" t="s">
        <v>161</v>
      </c>
      <c r="B22" s="118"/>
      <c r="C22" s="119"/>
      <c r="D22" s="158" t="s">
        <v>162</v>
      </c>
      <c r="E22" s="159"/>
      <c r="F22" s="160"/>
    </row>
    <row r="23" spans="1:6" ht="13.5" thickBot="1">
      <c r="A23" s="20" t="s">
        <v>41</v>
      </c>
      <c r="B23" s="21">
        <f>B14/B12</f>
        <v>648.9292667099287</v>
      </c>
      <c r="C23" s="6"/>
      <c r="D23" s="161" t="s">
        <v>163</v>
      </c>
      <c r="E23" s="162"/>
      <c r="F23" s="163"/>
    </row>
    <row r="24" spans="1:6" ht="12.75">
      <c r="A24" s="17" t="s">
        <v>42</v>
      </c>
      <c r="B24" s="22">
        <f>E18/B15</f>
        <v>2.8846100805435237</v>
      </c>
      <c r="C24" s="6" t="s">
        <v>43</v>
      </c>
      <c r="D24" s="148" t="s">
        <v>21</v>
      </c>
      <c r="E24" s="149">
        <f>B24</f>
        <v>2.8846100805435237</v>
      </c>
      <c r="F24" s="26" t="s">
        <v>164</v>
      </c>
    </row>
    <row r="25" spans="1:6" ht="12.75">
      <c r="A25" s="17" t="s">
        <v>45</v>
      </c>
      <c r="B25" s="23">
        <f>B24^2/(2*9.81)</f>
        <v>0.4241067949425746</v>
      </c>
      <c r="C25" s="6" t="s">
        <v>15</v>
      </c>
      <c r="D25" s="148" t="s">
        <v>24</v>
      </c>
      <c r="E25" s="149">
        <f>B24</f>
        <v>2.8846100805435237</v>
      </c>
      <c r="F25" s="26" t="s">
        <v>165</v>
      </c>
    </row>
    <row r="26" spans="1:6" ht="12.75">
      <c r="A26" s="17" t="s">
        <v>47</v>
      </c>
      <c r="B26" s="18">
        <f>B24*B12/E10</f>
        <v>41159.11235294046</v>
      </c>
      <c r="C26" s="6"/>
      <c r="D26" s="17" t="s">
        <v>166</v>
      </c>
      <c r="E26" s="23">
        <f>E24^2/(2*9.81)</f>
        <v>0.4241067949425746</v>
      </c>
      <c r="F26" s="6" t="s">
        <v>15</v>
      </c>
    </row>
    <row r="27" spans="1:6" ht="13.5" thickBot="1">
      <c r="A27" s="66" t="s">
        <v>49</v>
      </c>
      <c r="B27" s="67">
        <f>0.25/(LOG10(1/(3.7*B16)+5.74/B26^0.9))^2</f>
        <v>0.02275018246597325</v>
      </c>
      <c r="C27" s="34"/>
      <c r="D27" s="66" t="s">
        <v>167</v>
      </c>
      <c r="E27" s="23">
        <f>E25^2/(2*9.81)</f>
        <v>0.4241067949425746</v>
      </c>
      <c r="F27" s="34" t="s">
        <v>15</v>
      </c>
    </row>
    <row r="28" spans="1:6" ht="12.75">
      <c r="A28" s="60" t="s">
        <v>168</v>
      </c>
      <c r="B28" s="198" t="s">
        <v>51</v>
      </c>
      <c r="C28" s="80" t="s">
        <v>52</v>
      </c>
      <c r="D28" s="3"/>
      <c r="E28" s="3"/>
      <c r="F28" s="4"/>
    </row>
    <row r="29" spans="1:6" ht="15.75">
      <c r="A29" s="20" t="s">
        <v>169</v>
      </c>
      <c r="B29" s="81">
        <f>B27*B23</f>
        <v>14.763259225161098</v>
      </c>
      <c r="C29" s="201">
        <v>1</v>
      </c>
      <c r="D29" s="19" t="s">
        <v>54</v>
      </c>
      <c r="E29" s="22">
        <f>B29*B25</f>
        <v>6.2611985528894705</v>
      </c>
      <c r="F29" s="6" t="s">
        <v>72</v>
      </c>
    </row>
    <row r="30" spans="1:6" ht="15.75">
      <c r="A30" s="11" t="s">
        <v>170</v>
      </c>
      <c r="B30" s="24">
        <v>0.45</v>
      </c>
      <c r="C30" s="25">
        <v>2</v>
      </c>
      <c r="D30" s="19" t="s">
        <v>57</v>
      </c>
      <c r="E30" s="22">
        <f>B30*C30*$B$25</f>
        <v>0.3816961154483171</v>
      </c>
      <c r="F30" s="6" t="s">
        <v>15</v>
      </c>
    </row>
    <row r="31" spans="1:6" ht="15.75">
      <c r="A31" s="11" t="s">
        <v>171</v>
      </c>
      <c r="B31" s="24">
        <v>0.675</v>
      </c>
      <c r="C31" s="25">
        <v>1</v>
      </c>
      <c r="D31" s="19" t="s">
        <v>60</v>
      </c>
      <c r="E31" s="22">
        <f aca="true" t="shared" si="0" ref="E31:E36">B31*C31*$B$25</f>
        <v>0.2862720865862379</v>
      </c>
      <c r="F31" s="6" t="s">
        <v>15</v>
      </c>
    </row>
    <row r="32" spans="1:6" ht="15.75">
      <c r="A32" s="11" t="s">
        <v>61</v>
      </c>
      <c r="B32" s="24">
        <v>0</v>
      </c>
      <c r="C32" s="25">
        <v>1</v>
      </c>
      <c r="D32" s="19" t="s">
        <v>62</v>
      </c>
      <c r="E32" s="22">
        <f t="shared" si="0"/>
        <v>0</v>
      </c>
      <c r="F32" s="6" t="s">
        <v>15</v>
      </c>
    </row>
    <row r="33" spans="1:6" ht="15.75">
      <c r="A33" s="11" t="s">
        <v>63</v>
      </c>
      <c r="B33" s="24">
        <v>0</v>
      </c>
      <c r="C33" s="25">
        <v>1</v>
      </c>
      <c r="D33" s="19" t="s">
        <v>64</v>
      </c>
      <c r="E33" s="22">
        <f t="shared" si="0"/>
        <v>0</v>
      </c>
      <c r="F33" s="6" t="s">
        <v>15</v>
      </c>
    </row>
    <row r="34" spans="1:6" ht="15.75">
      <c r="A34" s="11" t="s">
        <v>65</v>
      </c>
      <c r="B34" s="24">
        <v>0</v>
      </c>
      <c r="C34" s="25">
        <v>1</v>
      </c>
      <c r="D34" s="19" t="s">
        <v>66</v>
      </c>
      <c r="E34" s="22">
        <f t="shared" si="0"/>
        <v>0</v>
      </c>
      <c r="F34" s="6" t="s">
        <v>15</v>
      </c>
    </row>
    <row r="35" spans="1:6" ht="15.75">
      <c r="A35" s="11" t="s">
        <v>67</v>
      </c>
      <c r="B35" s="24">
        <v>0</v>
      </c>
      <c r="C35" s="25">
        <v>1</v>
      </c>
      <c r="D35" s="19" t="s">
        <v>68</v>
      </c>
      <c r="E35" s="22">
        <f t="shared" si="0"/>
        <v>0</v>
      </c>
      <c r="F35" s="6" t="s">
        <v>15</v>
      </c>
    </row>
    <row r="36" spans="1:6" ht="16.5" thickBot="1">
      <c r="A36" s="51" t="s">
        <v>69</v>
      </c>
      <c r="B36" s="70">
        <v>0</v>
      </c>
      <c r="C36" s="71">
        <v>1</v>
      </c>
      <c r="D36" s="19" t="s">
        <v>70</v>
      </c>
      <c r="E36" s="22">
        <f t="shared" si="0"/>
        <v>0</v>
      </c>
      <c r="F36" s="34" t="s">
        <v>15</v>
      </c>
    </row>
    <row r="37" spans="3:6" ht="16.5" thickBot="1">
      <c r="C37" s="30"/>
      <c r="D37" s="112" t="s">
        <v>76</v>
      </c>
      <c r="E37" s="113">
        <f>SUM(E29:E36)</f>
        <v>6.929166754924026</v>
      </c>
      <c r="F37" s="85" t="s">
        <v>15</v>
      </c>
    </row>
  </sheetData>
  <sheetProtection/>
  <printOptions/>
  <pageMargins left="0.75" right="0.75" top="1" bottom="0.7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0.00390625" style="0" customWidth="1"/>
    <col min="2" max="2" width="8.7109375" style="0" customWidth="1"/>
    <col min="3" max="3" width="6.7109375" style="0" customWidth="1"/>
    <col min="4" max="4" width="18.7109375" style="0" customWidth="1"/>
    <col min="5" max="5" width="8.7109375" style="0" customWidth="1"/>
    <col min="6" max="6" width="24.7109375" style="0" customWidth="1"/>
    <col min="7" max="7" width="19.7109375" style="0" customWidth="1"/>
  </cols>
  <sheetData>
    <row r="1" spans="1:6" ht="13.5" thickBot="1">
      <c r="A1" s="35" t="s">
        <v>0</v>
      </c>
      <c r="B1" s="85"/>
      <c r="C1" s="197" t="s">
        <v>172</v>
      </c>
      <c r="D1" s="86"/>
      <c r="E1" s="86"/>
      <c r="F1" s="164"/>
    </row>
    <row r="2" spans="1:6" ht="13.5" thickBot="1">
      <c r="A2" s="35" t="s">
        <v>139</v>
      </c>
      <c r="B2" s="85"/>
      <c r="C2" s="87" t="s">
        <v>140</v>
      </c>
      <c r="D2" s="10"/>
      <c r="E2" s="10"/>
      <c r="F2" s="6"/>
    </row>
    <row r="3" spans="1:6" ht="12.75">
      <c r="A3" s="88" t="s">
        <v>173</v>
      </c>
      <c r="B3" s="26"/>
      <c r="C3" s="27" t="s">
        <v>274</v>
      </c>
      <c r="D3" s="10"/>
      <c r="E3" s="10"/>
      <c r="F3" s="6"/>
    </row>
    <row r="4" spans="1:6" ht="13.5" thickBot="1">
      <c r="A4" s="89"/>
      <c r="B4" s="44"/>
      <c r="C4" s="30" t="s">
        <v>144</v>
      </c>
      <c r="D4" s="31"/>
      <c r="E4" s="31"/>
      <c r="F4" s="34"/>
    </row>
    <row r="5" spans="1:6" ht="13.5" thickBot="1">
      <c r="A5" s="90" t="s">
        <v>10</v>
      </c>
      <c r="B5" s="91" t="s">
        <v>126</v>
      </c>
      <c r="C5" s="92"/>
      <c r="D5" s="92"/>
      <c r="E5" s="92"/>
      <c r="F5" s="85"/>
    </row>
    <row r="6" spans="1:6" ht="12.75">
      <c r="A6" s="47" t="s">
        <v>16</v>
      </c>
      <c r="B6" s="48">
        <v>250</v>
      </c>
      <c r="C6" s="46" t="s">
        <v>94</v>
      </c>
      <c r="D6" s="47" t="s">
        <v>14</v>
      </c>
      <c r="E6" s="48">
        <v>55</v>
      </c>
      <c r="F6" s="93" t="s">
        <v>93</v>
      </c>
    </row>
    <row r="7" spans="1:6" ht="13.5" thickBot="1">
      <c r="A7" s="51" t="s">
        <v>19</v>
      </c>
      <c r="B7" s="52">
        <v>180</v>
      </c>
      <c r="C7" s="39" t="s">
        <v>94</v>
      </c>
      <c r="D7" s="51" t="s">
        <v>18</v>
      </c>
      <c r="E7" s="52">
        <v>0</v>
      </c>
      <c r="F7" s="44" t="s">
        <v>93</v>
      </c>
    </row>
    <row r="8" spans="1:6" ht="16.5" thickBot="1">
      <c r="A8" s="208" t="s">
        <v>174</v>
      </c>
      <c r="B8" s="96">
        <f>(B6-B7)*144/B10+E6-E7</f>
        <v>202.21775960274573</v>
      </c>
      <c r="C8" s="97" t="s">
        <v>93</v>
      </c>
      <c r="D8" s="98"/>
      <c r="E8" s="99"/>
      <c r="F8" s="100"/>
    </row>
    <row r="9" spans="1:6" ht="12.75">
      <c r="A9" s="9" t="s">
        <v>26</v>
      </c>
      <c r="B9" s="10"/>
      <c r="C9" s="10"/>
      <c r="D9" s="10" t="s">
        <v>289</v>
      </c>
      <c r="E9" s="10"/>
      <c r="F9" s="6"/>
    </row>
    <row r="10" spans="1:6" ht="15" thickBot="1">
      <c r="A10" s="51" t="s">
        <v>27</v>
      </c>
      <c r="B10" s="70">
        <v>68.47</v>
      </c>
      <c r="C10" s="52" t="s">
        <v>97</v>
      </c>
      <c r="D10" s="63" t="s">
        <v>29</v>
      </c>
      <c r="E10" s="64">
        <v>0.0001587</v>
      </c>
      <c r="F10" s="53" t="s">
        <v>98</v>
      </c>
    </row>
    <row r="11" spans="1:6" ht="12.75">
      <c r="A11" s="147" t="s">
        <v>175</v>
      </c>
      <c r="B11" s="46"/>
      <c r="C11" s="93"/>
      <c r="D11" s="54"/>
      <c r="E11" s="3"/>
      <c r="F11" s="4"/>
    </row>
    <row r="12" spans="1:6" ht="12.75">
      <c r="A12" s="11" t="s">
        <v>33</v>
      </c>
      <c r="B12" s="12">
        <v>0.512</v>
      </c>
      <c r="C12" s="50" t="s">
        <v>93</v>
      </c>
      <c r="D12" s="27"/>
      <c r="E12" s="10"/>
      <c r="F12" s="6"/>
    </row>
    <row r="13" spans="1:6" ht="12.75">
      <c r="A13" s="11" t="s">
        <v>147</v>
      </c>
      <c r="B13" s="15">
        <v>0.0004</v>
      </c>
      <c r="C13" s="50" t="s">
        <v>93</v>
      </c>
      <c r="D13" s="27"/>
      <c r="E13" s="10"/>
      <c r="F13" s="6"/>
    </row>
    <row r="14" spans="1:6" ht="12.75">
      <c r="A14" s="11" t="s">
        <v>35</v>
      </c>
      <c r="B14" s="12">
        <v>5000</v>
      </c>
      <c r="C14" s="50" t="s">
        <v>93</v>
      </c>
      <c r="D14" s="9" t="s">
        <v>148</v>
      </c>
      <c r="E14" s="10"/>
      <c r="F14" s="6"/>
    </row>
    <row r="15" spans="1:6" ht="14.25">
      <c r="A15" s="55" t="s">
        <v>176</v>
      </c>
      <c r="B15" s="102">
        <f>PI()*B12^2/4</f>
        <v>0.20588741614566067</v>
      </c>
      <c r="C15" s="206" t="s">
        <v>177</v>
      </c>
      <c r="D15" s="17" t="s">
        <v>12</v>
      </c>
      <c r="E15" s="103">
        <f>-2.22*B12^2*SQRT(32.2*B12*B8/B14)*LOG10(0.27027/B16+1.784*E10/(B12*SQRT(32.2*B12*B8/B14)))</f>
        <v>1.4500476133970446</v>
      </c>
      <c r="F15" s="6" t="s">
        <v>178</v>
      </c>
    </row>
    <row r="16" spans="1:6" ht="13.5" thickBot="1">
      <c r="A16" s="104" t="s">
        <v>179</v>
      </c>
      <c r="B16" s="105">
        <f>B12/B13</f>
        <v>1280</v>
      </c>
      <c r="C16" s="106"/>
      <c r="D16" s="66" t="s">
        <v>180</v>
      </c>
      <c r="E16" s="33">
        <f>E15/B15</f>
        <v>7.042915203574991</v>
      </c>
      <c r="F16" s="34" t="s">
        <v>103</v>
      </c>
    </row>
    <row r="17" spans="1:6" ht="13.5" thickBot="1">
      <c r="A17" s="102"/>
      <c r="B17" s="102"/>
      <c r="C17" s="102"/>
      <c r="D17" s="19"/>
      <c r="E17" s="22"/>
      <c r="F17" s="10"/>
    </row>
    <row r="18" spans="1:6" ht="15" thickBot="1">
      <c r="A18" s="120" t="s">
        <v>154</v>
      </c>
      <c r="B18" s="74"/>
      <c r="C18" s="110"/>
      <c r="D18" s="47" t="s">
        <v>12</v>
      </c>
      <c r="E18" s="48">
        <v>1.45</v>
      </c>
      <c r="F18" s="49" t="s">
        <v>92</v>
      </c>
    </row>
    <row r="19" spans="1:6" ht="15.75">
      <c r="A19" s="115" t="s">
        <v>155</v>
      </c>
      <c r="B19" s="13"/>
      <c r="C19" s="116"/>
      <c r="D19" s="17" t="s">
        <v>156</v>
      </c>
      <c r="E19" s="10">
        <f>B6</f>
        <v>250</v>
      </c>
      <c r="F19" s="6" t="s">
        <v>94</v>
      </c>
    </row>
    <row r="20" spans="1:6" ht="14.25">
      <c r="A20" s="114" t="s">
        <v>157</v>
      </c>
      <c r="B20" s="7"/>
      <c r="C20" s="26"/>
      <c r="D20" s="156" t="s">
        <v>158</v>
      </c>
      <c r="E20" s="157">
        <f>B6+B10*(E6-E7+E26-E27-E37)/144</f>
        <v>179.77384961574268</v>
      </c>
      <c r="F20" s="124" t="s">
        <v>94</v>
      </c>
    </row>
    <row r="21" spans="1:6" ht="13.5" thickBot="1">
      <c r="A21" s="94" t="s">
        <v>159</v>
      </c>
      <c r="B21" s="39"/>
      <c r="C21" s="44"/>
      <c r="D21" s="111" t="s">
        <v>160</v>
      </c>
      <c r="E21" s="5">
        <f>B7</f>
        <v>180</v>
      </c>
      <c r="F21" s="124" t="s">
        <v>94</v>
      </c>
    </row>
    <row r="22" spans="1:6" ht="14.25">
      <c r="A22" s="117" t="s">
        <v>161</v>
      </c>
      <c r="B22" s="118"/>
      <c r="C22" s="119"/>
      <c r="D22" s="158" t="s">
        <v>162</v>
      </c>
      <c r="E22" s="159"/>
      <c r="F22" s="160"/>
    </row>
    <row r="23" spans="1:6" ht="13.5" thickBot="1">
      <c r="A23" s="20" t="s">
        <v>41</v>
      </c>
      <c r="B23" s="21">
        <f>B14/B12</f>
        <v>9765.625</v>
      </c>
      <c r="C23" s="6"/>
      <c r="D23" s="161" t="s">
        <v>181</v>
      </c>
      <c r="E23" s="162"/>
      <c r="F23" s="163"/>
    </row>
    <row r="24" spans="1:6" ht="12.75">
      <c r="A24" s="17" t="s">
        <v>42</v>
      </c>
      <c r="B24" s="22">
        <f>E18/B15</f>
        <v>7.042683944190926</v>
      </c>
      <c r="C24" s="6" t="s">
        <v>103</v>
      </c>
      <c r="D24" s="148" t="s">
        <v>21</v>
      </c>
      <c r="E24" s="149">
        <f>B24</f>
        <v>7.042683944190926</v>
      </c>
      <c r="F24" s="26" t="s">
        <v>182</v>
      </c>
    </row>
    <row r="25" spans="1:6" ht="12.75">
      <c r="A25" s="17" t="s">
        <v>45</v>
      </c>
      <c r="B25" s="23">
        <f>B24^2/(2*32.2)</f>
        <v>0.7701769741888921</v>
      </c>
      <c r="C25" s="6" t="s">
        <v>183</v>
      </c>
      <c r="D25" s="148" t="s">
        <v>24</v>
      </c>
      <c r="E25" s="149">
        <f>B24</f>
        <v>7.042683944190926</v>
      </c>
      <c r="F25" s="26" t="s">
        <v>184</v>
      </c>
    </row>
    <row r="26" spans="1:6" ht="12.75">
      <c r="A26" s="17" t="s">
        <v>47</v>
      </c>
      <c r="B26" s="18">
        <f>B24*B12/E10</f>
        <v>22721.198358070284</v>
      </c>
      <c r="C26" s="6"/>
      <c r="D26" s="17" t="s">
        <v>166</v>
      </c>
      <c r="E26" s="22">
        <f>E24^2/(2*32.2)</f>
        <v>0.7701769741888921</v>
      </c>
      <c r="F26" s="6" t="s">
        <v>183</v>
      </c>
    </row>
    <row r="27" spans="1:6" ht="13.5" thickBot="1">
      <c r="A27" s="66" t="s">
        <v>49</v>
      </c>
      <c r="B27" s="67">
        <f>0.25/(LOG10(1/(3.7*B16)+5.74/B26^0.9))^2</f>
        <v>0.026949393059023635</v>
      </c>
      <c r="C27" s="34"/>
      <c r="D27" s="66" t="s">
        <v>167</v>
      </c>
      <c r="E27" s="22">
        <f>E25^2/(2*32.2)</f>
        <v>0.7701769741888921</v>
      </c>
      <c r="F27" s="34" t="s">
        <v>93</v>
      </c>
    </row>
    <row r="28" spans="1:6" ht="12.75">
      <c r="A28" s="60" t="s">
        <v>168</v>
      </c>
      <c r="B28" s="198" t="s">
        <v>51</v>
      </c>
      <c r="C28" s="80" t="s">
        <v>52</v>
      </c>
      <c r="D28" s="3"/>
      <c r="E28" s="3"/>
      <c r="F28" s="4"/>
    </row>
    <row r="29" spans="1:6" ht="15.75">
      <c r="A29" s="20" t="s">
        <v>53</v>
      </c>
      <c r="B29" s="81">
        <f>B27*B23</f>
        <v>263.17766659202766</v>
      </c>
      <c r="C29" s="201">
        <v>1</v>
      </c>
      <c r="D29" s="19" t="s">
        <v>54</v>
      </c>
      <c r="E29" s="22">
        <f>B29*B25</f>
        <v>202.69337892994093</v>
      </c>
      <c r="F29" s="6" t="s">
        <v>185</v>
      </c>
    </row>
    <row r="30" spans="1:6" ht="15.75">
      <c r="A30" s="11" t="s">
        <v>107</v>
      </c>
      <c r="B30" s="24">
        <v>0</v>
      </c>
      <c r="C30" s="25">
        <v>1</v>
      </c>
      <c r="D30" s="19" t="s">
        <v>57</v>
      </c>
      <c r="E30" s="22">
        <f>B30*C30*$B$25</f>
        <v>0</v>
      </c>
      <c r="F30" s="6" t="s">
        <v>183</v>
      </c>
    </row>
    <row r="31" spans="1:6" ht="15.75">
      <c r="A31" s="11" t="s">
        <v>59</v>
      </c>
      <c r="B31" s="24">
        <v>0</v>
      </c>
      <c r="C31" s="25">
        <v>1</v>
      </c>
      <c r="D31" s="19" t="s">
        <v>60</v>
      </c>
      <c r="E31" s="22">
        <f aca="true" t="shared" si="0" ref="E31:E36">B31*C31*$B$25</f>
        <v>0</v>
      </c>
      <c r="F31" s="6" t="s">
        <v>183</v>
      </c>
    </row>
    <row r="32" spans="1:6" ht="15.75">
      <c r="A32" s="11" t="s">
        <v>61</v>
      </c>
      <c r="B32" s="24">
        <v>0</v>
      </c>
      <c r="C32" s="25">
        <v>1</v>
      </c>
      <c r="D32" s="19" t="s">
        <v>62</v>
      </c>
      <c r="E32" s="22">
        <f t="shared" si="0"/>
        <v>0</v>
      </c>
      <c r="F32" s="6" t="s">
        <v>183</v>
      </c>
    </row>
    <row r="33" spans="1:6" ht="15.75">
      <c r="A33" s="11" t="s">
        <v>63</v>
      </c>
      <c r="B33" s="24">
        <v>0</v>
      </c>
      <c r="C33" s="25">
        <v>1</v>
      </c>
      <c r="D33" s="19" t="s">
        <v>64</v>
      </c>
      <c r="E33" s="22">
        <f t="shared" si="0"/>
        <v>0</v>
      </c>
      <c r="F33" s="6" t="s">
        <v>183</v>
      </c>
    </row>
    <row r="34" spans="1:6" ht="15.75">
      <c r="A34" s="11" t="s">
        <v>65</v>
      </c>
      <c r="B34" s="24">
        <v>0</v>
      </c>
      <c r="C34" s="25">
        <v>1</v>
      </c>
      <c r="D34" s="19" t="s">
        <v>66</v>
      </c>
      <c r="E34" s="22">
        <f t="shared" si="0"/>
        <v>0</v>
      </c>
      <c r="F34" s="6" t="s">
        <v>183</v>
      </c>
    </row>
    <row r="35" spans="1:6" ht="15.75">
      <c r="A35" s="11" t="s">
        <v>67</v>
      </c>
      <c r="B35" s="24">
        <v>0</v>
      </c>
      <c r="C35" s="25">
        <v>1</v>
      </c>
      <c r="D35" s="19" t="s">
        <v>68</v>
      </c>
      <c r="E35" s="22">
        <f t="shared" si="0"/>
        <v>0</v>
      </c>
      <c r="F35" s="6" t="s">
        <v>183</v>
      </c>
    </row>
    <row r="36" spans="1:6" ht="16.5" thickBot="1">
      <c r="A36" s="51" t="s">
        <v>69</v>
      </c>
      <c r="B36" s="70">
        <v>0</v>
      </c>
      <c r="C36" s="71">
        <v>1</v>
      </c>
      <c r="D36" s="19" t="s">
        <v>70</v>
      </c>
      <c r="E36" s="22">
        <f t="shared" si="0"/>
        <v>0</v>
      </c>
      <c r="F36" s="34" t="s">
        <v>93</v>
      </c>
    </row>
    <row r="37" spans="3:6" ht="16.5" thickBot="1">
      <c r="C37" s="30"/>
      <c r="D37" s="112" t="s">
        <v>76</v>
      </c>
      <c r="E37" s="113">
        <f>SUM(E29:E36)</f>
        <v>202.69337892994093</v>
      </c>
      <c r="F37" s="85" t="s">
        <v>93</v>
      </c>
    </row>
  </sheetData>
  <sheetProtection/>
  <printOptions/>
  <pageMargins left="0.75" right="0.75" top="1" bottom="0.75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8.7109375" style="0" customWidth="1"/>
    <col min="3" max="3" width="6.7109375" style="0" customWidth="1"/>
    <col min="4" max="4" width="25.7109375" style="0" customWidth="1"/>
    <col min="5" max="5" width="8.7109375" style="0" customWidth="1"/>
    <col min="6" max="6" width="10.7109375" style="0" customWidth="1"/>
  </cols>
  <sheetData>
    <row r="1" spans="1:6" ht="13.5" thickBot="1">
      <c r="A1" s="35" t="s">
        <v>0</v>
      </c>
      <c r="B1" s="91"/>
      <c r="C1" s="91"/>
      <c r="D1" s="90" t="s">
        <v>186</v>
      </c>
      <c r="E1" s="92"/>
      <c r="F1" s="36"/>
    </row>
    <row r="2" spans="1:6" ht="13.5" thickBot="1">
      <c r="A2" s="132" t="s">
        <v>187</v>
      </c>
      <c r="B2" s="133"/>
      <c r="C2" s="133"/>
      <c r="D2" s="9" t="s">
        <v>188</v>
      </c>
      <c r="E2" s="5"/>
      <c r="F2" s="124"/>
    </row>
    <row r="3" spans="1:6" ht="12.75">
      <c r="A3" s="125" t="s">
        <v>189</v>
      </c>
      <c r="B3" s="126"/>
      <c r="C3" s="7"/>
      <c r="D3" s="109" t="s">
        <v>190</v>
      </c>
      <c r="E3" s="123"/>
      <c r="F3" s="127"/>
    </row>
    <row r="4" spans="1:6" ht="13.5" thickBot="1">
      <c r="A4" s="125"/>
      <c r="B4" s="126"/>
      <c r="C4" s="7"/>
      <c r="D4" s="109" t="s">
        <v>191</v>
      </c>
      <c r="E4" s="123"/>
      <c r="F4" s="127"/>
    </row>
    <row r="5" spans="1:6" ht="13.5" thickBot="1">
      <c r="A5" s="131" t="s">
        <v>192</v>
      </c>
      <c r="B5" s="130"/>
      <c r="C5" s="75"/>
      <c r="D5" s="109" t="s">
        <v>193</v>
      </c>
      <c r="E5" s="123"/>
      <c r="F5" s="127"/>
    </row>
    <row r="6" spans="1:6" ht="12.75">
      <c r="A6" s="11" t="s">
        <v>16</v>
      </c>
      <c r="B6" s="13">
        <v>150</v>
      </c>
      <c r="C6" s="126" t="s">
        <v>17</v>
      </c>
      <c r="D6" s="131" t="s">
        <v>26</v>
      </c>
      <c r="E6" s="108"/>
      <c r="F6" s="75"/>
    </row>
    <row r="7" spans="1:6" ht="14.25">
      <c r="A7" s="11" t="s">
        <v>19</v>
      </c>
      <c r="B7" s="13">
        <v>0</v>
      </c>
      <c r="C7" s="126" t="s">
        <v>17</v>
      </c>
      <c r="D7" s="11" t="s">
        <v>27</v>
      </c>
      <c r="E7" s="13">
        <v>9.53</v>
      </c>
      <c r="F7" s="128" t="s">
        <v>194</v>
      </c>
    </row>
    <row r="8" spans="1:6" ht="15" thickBot="1">
      <c r="A8" s="11" t="s">
        <v>14</v>
      </c>
      <c r="B8" s="13">
        <v>0</v>
      </c>
      <c r="C8" s="128" t="s">
        <v>15</v>
      </c>
      <c r="D8" s="51" t="s">
        <v>195</v>
      </c>
      <c r="E8" s="64">
        <v>3.6E-07</v>
      </c>
      <c r="F8" s="44" t="s">
        <v>196</v>
      </c>
    </row>
    <row r="9" spans="1:6" ht="12.75">
      <c r="A9" s="11" t="s">
        <v>18</v>
      </c>
      <c r="B9" s="13">
        <v>0</v>
      </c>
      <c r="C9" s="128" t="s">
        <v>15</v>
      </c>
      <c r="D9" s="129" t="s">
        <v>197</v>
      </c>
      <c r="E9" s="108"/>
      <c r="F9" s="75"/>
    </row>
    <row r="10" spans="1:6" ht="15.75">
      <c r="A10" s="136" t="s">
        <v>198</v>
      </c>
      <c r="B10" s="22">
        <f>(B6-B7)/E7+B8-B9</f>
        <v>15.739769150052467</v>
      </c>
      <c r="C10" s="6" t="s">
        <v>15</v>
      </c>
      <c r="D10" s="17" t="s">
        <v>199</v>
      </c>
      <c r="E10" s="10">
        <f>B12/(9.81*B10)</f>
        <v>0.19429153924566767</v>
      </c>
      <c r="F10" s="6"/>
    </row>
    <row r="11" spans="1:6" ht="15" thickBot="1">
      <c r="A11" s="11" t="s">
        <v>12</v>
      </c>
      <c r="B11" s="12">
        <v>0.06</v>
      </c>
      <c r="C11" s="7" t="s">
        <v>200</v>
      </c>
      <c r="D11" s="66" t="s">
        <v>201</v>
      </c>
      <c r="E11" s="31">
        <f>B13^1.25*(E10*B11^2)^4.75+E8*B11^9.4*E10^5.2</f>
        <v>2.889397425324938E-22</v>
      </c>
      <c r="F11" s="34"/>
    </row>
    <row r="12" spans="1:6" ht="12.75">
      <c r="A12" s="11" t="s">
        <v>202</v>
      </c>
      <c r="B12" s="12">
        <v>30</v>
      </c>
      <c r="C12" s="26" t="s">
        <v>15</v>
      </c>
      <c r="D12" s="129" t="s">
        <v>203</v>
      </c>
      <c r="E12" s="108"/>
      <c r="F12" s="75"/>
    </row>
    <row r="13" spans="1:6" ht="13.5" thickBot="1">
      <c r="A13" s="51" t="s">
        <v>204</v>
      </c>
      <c r="B13" s="64">
        <v>1.5E-06</v>
      </c>
      <c r="C13" s="44" t="s">
        <v>15</v>
      </c>
      <c r="D13" s="66" t="s">
        <v>205</v>
      </c>
      <c r="E13" s="67">
        <f>0.66*E11^0.04</f>
        <v>0.09077708376102576</v>
      </c>
      <c r="F13" s="34" t="s">
        <v>15</v>
      </c>
    </row>
    <row r="14" ht="13.5" thickBot="1"/>
    <row r="15" spans="1:6" ht="13.5" thickBot="1">
      <c r="A15" s="120" t="s">
        <v>206</v>
      </c>
      <c r="B15" s="74"/>
      <c r="C15" s="110"/>
      <c r="D15" s="47" t="s">
        <v>207</v>
      </c>
      <c r="E15" s="48">
        <v>0.09797</v>
      </c>
      <c r="F15" s="134" t="s">
        <v>15</v>
      </c>
    </row>
    <row r="16" spans="1:6" ht="13.5" thickBot="1">
      <c r="A16" s="115" t="s">
        <v>208</v>
      </c>
      <c r="B16" s="13"/>
      <c r="C16" s="116"/>
      <c r="D16" s="125" t="s">
        <v>209</v>
      </c>
      <c r="E16" s="122"/>
      <c r="F16" s="26"/>
    </row>
    <row r="17" spans="1:6" ht="12.75">
      <c r="A17" s="114" t="s">
        <v>210</v>
      </c>
      <c r="B17" s="7"/>
      <c r="C17" s="26"/>
      <c r="D17" s="154" t="s">
        <v>211</v>
      </c>
      <c r="E17" s="3"/>
      <c r="F17" s="4"/>
    </row>
    <row r="18" spans="1:6" ht="13.5" thickBot="1">
      <c r="A18" s="94" t="s">
        <v>212</v>
      </c>
      <c r="B18" s="39"/>
      <c r="C18" s="44"/>
      <c r="D18" s="148" t="s">
        <v>21</v>
      </c>
      <c r="E18" s="24">
        <f>B23</f>
        <v>7.959305105659771</v>
      </c>
      <c r="F18" s="26" t="s">
        <v>43</v>
      </c>
    </row>
    <row r="19" spans="1:6" ht="12.75">
      <c r="A19" s="117" t="s">
        <v>161</v>
      </c>
      <c r="B19" s="118"/>
      <c r="C19" s="119"/>
      <c r="D19" s="148" t="s">
        <v>24</v>
      </c>
      <c r="E19" s="24">
        <f>B23</f>
        <v>7.959305105659771</v>
      </c>
      <c r="F19" s="26" t="s">
        <v>43</v>
      </c>
    </row>
    <row r="20" spans="1:6" ht="14.25">
      <c r="A20" s="17" t="s">
        <v>213</v>
      </c>
      <c r="B20" s="135">
        <f>PI()*E15^2/4</f>
        <v>0.007538346526926663</v>
      </c>
      <c r="C20" s="6" t="s">
        <v>37</v>
      </c>
      <c r="D20" s="17" t="s">
        <v>166</v>
      </c>
      <c r="E20" s="23">
        <f>E18^2/(2*9.81)</f>
        <v>3.228875523189689</v>
      </c>
      <c r="F20" s="6" t="s">
        <v>15</v>
      </c>
    </row>
    <row r="21" spans="1:6" ht="13.5" thickBot="1">
      <c r="A21" s="136" t="s">
        <v>214</v>
      </c>
      <c r="B21" s="21">
        <f>E15/B13</f>
        <v>65313.333333333336</v>
      </c>
      <c r="C21" s="6"/>
      <c r="D21" s="66" t="s">
        <v>167</v>
      </c>
      <c r="E21" s="153">
        <f>E19^2/(2*9.81)</f>
        <v>3.228875523189689</v>
      </c>
      <c r="F21" s="34" t="s">
        <v>15</v>
      </c>
    </row>
    <row r="22" spans="1:6" ht="12.75">
      <c r="A22" s="20" t="s">
        <v>41</v>
      </c>
      <c r="B22" s="21">
        <f>B12/E15</f>
        <v>306.21618862917217</v>
      </c>
      <c r="C22" s="6"/>
      <c r="D22" s="107" t="s">
        <v>77</v>
      </c>
      <c r="E22" s="137"/>
      <c r="F22" s="138"/>
    </row>
    <row r="23" spans="1:6" ht="12.75">
      <c r="A23" s="17" t="s">
        <v>42</v>
      </c>
      <c r="B23" s="22">
        <f>B11/B20</f>
        <v>7.959305105659771</v>
      </c>
      <c r="C23" s="6" t="s">
        <v>43</v>
      </c>
      <c r="D23" s="101" t="s">
        <v>215</v>
      </c>
      <c r="E23" s="139">
        <f>B6</f>
        <v>150</v>
      </c>
      <c r="F23" s="140" t="s">
        <v>17</v>
      </c>
    </row>
    <row r="24" spans="1:6" ht="12.75">
      <c r="A24" s="17" t="s">
        <v>45</v>
      </c>
      <c r="B24" s="23">
        <f>B23^2/(2*9.81)</f>
        <v>3.228875523189689</v>
      </c>
      <c r="C24" s="6" t="s">
        <v>15</v>
      </c>
      <c r="D24" s="101" t="s">
        <v>216</v>
      </c>
      <c r="E24" s="139">
        <f>B7</f>
        <v>0</v>
      </c>
      <c r="F24" s="140" t="s">
        <v>17</v>
      </c>
    </row>
    <row r="25" spans="1:6" ht="12.75">
      <c r="A25" s="17" t="s">
        <v>47</v>
      </c>
      <c r="B25" s="18">
        <f>B23*E15/E8</f>
        <v>2166036.4477819107</v>
      </c>
      <c r="C25" s="6"/>
      <c r="D25" s="111" t="s">
        <v>217</v>
      </c>
      <c r="E25" s="141">
        <f>B6+E7*(B8-B9+E20-E21-E36)</f>
        <v>48.126260694899315</v>
      </c>
      <c r="F25" s="142" t="s">
        <v>17</v>
      </c>
    </row>
    <row r="26" spans="1:6" ht="15" thickBot="1">
      <c r="A26" s="66" t="s">
        <v>49</v>
      </c>
      <c r="B26" s="67">
        <f>0.25/(LOG10(1/(3.7*B21)+5.74/B25^0.9))^2</f>
        <v>0.010811598198874752</v>
      </c>
      <c r="C26" s="34"/>
      <c r="D26" s="150" t="s">
        <v>218</v>
      </c>
      <c r="E26" s="151"/>
      <c r="F26" s="152"/>
    </row>
    <row r="27" spans="1:6" ht="12.75">
      <c r="A27" s="60" t="s">
        <v>168</v>
      </c>
      <c r="B27" s="198" t="s">
        <v>51</v>
      </c>
      <c r="C27" s="80" t="s">
        <v>52</v>
      </c>
      <c r="D27" s="3"/>
      <c r="E27" s="3"/>
      <c r="F27" s="4"/>
    </row>
    <row r="28" spans="1:6" ht="15.75">
      <c r="A28" s="20" t="s">
        <v>219</v>
      </c>
      <c r="B28" s="81">
        <f>B26*B22</f>
        <v>3.310686393449449</v>
      </c>
      <c r="C28" s="201">
        <v>1</v>
      </c>
      <c r="D28" s="19" t="s">
        <v>54</v>
      </c>
      <c r="E28" s="22">
        <f>B28*B24</f>
        <v>10.689794260766075</v>
      </c>
      <c r="F28" s="6" t="s">
        <v>15</v>
      </c>
    </row>
    <row r="29" spans="1:6" ht="15.75">
      <c r="A29" s="11" t="s">
        <v>107</v>
      </c>
      <c r="B29" s="24">
        <v>0</v>
      </c>
      <c r="C29" s="25">
        <v>1</v>
      </c>
      <c r="D29" s="19" t="s">
        <v>57</v>
      </c>
      <c r="E29" s="22">
        <f>B29*C29*$B$24</f>
        <v>0</v>
      </c>
      <c r="F29" s="6" t="s">
        <v>15</v>
      </c>
    </row>
    <row r="30" spans="1:6" ht="15.75">
      <c r="A30" s="11" t="s">
        <v>59</v>
      </c>
      <c r="B30" s="24">
        <v>0</v>
      </c>
      <c r="C30" s="25">
        <v>1</v>
      </c>
      <c r="D30" s="19" t="s">
        <v>60</v>
      </c>
      <c r="E30" s="22">
        <f aca="true" t="shared" si="0" ref="E30:E35">B30*C30*$B$24</f>
        <v>0</v>
      </c>
      <c r="F30" s="6" t="s">
        <v>15</v>
      </c>
    </row>
    <row r="31" spans="1:6" ht="15.75">
      <c r="A31" s="11" t="s">
        <v>61</v>
      </c>
      <c r="B31" s="24">
        <v>0</v>
      </c>
      <c r="C31" s="25">
        <v>1</v>
      </c>
      <c r="D31" s="19" t="s">
        <v>62</v>
      </c>
      <c r="E31" s="22">
        <f t="shared" si="0"/>
        <v>0</v>
      </c>
      <c r="F31" s="6" t="s">
        <v>15</v>
      </c>
    </row>
    <row r="32" spans="1:6" ht="15.75">
      <c r="A32" s="11" t="s">
        <v>63</v>
      </c>
      <c r="B32" s="24">
        <v>0</v>
      </c>
      <c r="C32" s="25">
        <v>1</v>
      </c>
      <c r="D32" s="19" t="s">
        <v>64</v>
      </c>
      <c r="E32" s="22">
        <f t="shared" si="0"/>
        <v>0</v>
      </c>
      <c r="F32" s="6" t="s">
        <v>15</v>
      </c>
    </row>
    <row r="33" spans="1:6" ht="15.75">
      <c r="A33" s="11" t="s">
        <v>65</v>
      </c>
      <c r="B33" s="24">
        <v>0</v>
      </c>
      <c r="C33" s="25">
        <v>1</v>
      </c>
      <c r="D33" s="19" t="s">
        <v>66</v>
      </c>
      <c r="E33" s="22">
        <f t="shared" si="0"/>
        <v>0</v>
      </c>
      <c r="F33" s="6" t="s">
        <v>15</v>
      </c>
    </row>
    <row r="34" spans="1:6" ht="15.75">
      <c r="A34" s="11" t="s">
        <v>67</v>
      </c>
      <c r="B34" s="24">
        <v>0</v>
      </c>
      <c r="C34" s="25">
        <v>1</v>
      </c>
      <c r="D34" s="19" t="s">
        <v>68</v>
      </c>
      <c r="E34" s="22">
        <f t="shared" si="0"/>
        <v>0</v>
      </c>
      <c r="F34" s="6" t="s">
        <v>15</v>
      </c>
    </row>
    <row r="35" spans="1:6" ht="16.5" thickBot="1">
      <c r="A35" s="51" t="s">
        <v>69</v>
      </c>
      <c r="B35" s="70">
        <v>0</v>
      </c>
      <c r="C35" s="71">
        <v>1</v>
      </c>
      <c r="D35" s="19" t="s">
        <v>70</v>
      </c>
      <c r="E35" s="22">
        <f t="shared" si="0"/>
        <v>0</v>
      </c>
      <c r="F35" s="34" t="s">
        <v>15</v>
      </c>
    </row>
    <row r="36" spans="4:6" ht="16.5" thickBot="1">
      <c r="D36" s="112" t="s">
        <v>76</v>
      </c>
      <c r="E36" s="113">
        <f>SUM(E28:E35)</f>
        <v>10.689794260766075</v>
      </c>
      <c r="F36" s="85" t="s">
        <v>15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24.7109375" style="0" customWidth="1"/>
    <col min="2" max="2" width="8.7109375" style="0" customWidth="1"/>
    <col min="3" max="3" width="6.7109375" style="0" customWidth="1"/>
    <col min="4" max="4" width="25.7109375" style="0" customWidth="1"/>
    <col min="5" max="5" width="8.7109375" style="0" customWidth="1"/>
    <col min="6" max="6" width="10.7109375" style="0" customWidth="1"/>
  </cols>
  <sheetData>
    <row r="1" spans="1:6" ht="13.5" thickBot="1">
      <c r="A1" s="35" t="s">
        <v>0</v>
      </c>
      <c r="B1" s="91"/>
      <c r="C1" s="91"/>
      <c r="D1" s="90" t="s">
        <v>220</v>
      </c>
      <c r="E1" s="92"/>
      <c r="F1" s="36"/>
    </row>
    <row r="2" spans="1:6" ht="13.5" thickBot="1">
      <c r="A2" s="132" t="s">
        <v>187</v>
      </c>
      <c r="B2" s="133"/>
      <c r="C2" s="133"/>
      <c r="D2" s="9" t="s">
        <v>221</v>
      </c>
      <c r="E2" s="5"/>
      <c r="F2" s="124"/>
    </row>
    <row r="3" spans="1:6" ht="12.75">
      <c r="A3" s="125" t="s">
        <v>222</v>
      </c>
      <c r="B3" s="126"/>
      <c r="C3" s="7"/>
      <c r="D3" s="109" t="s">
        <v>190</v>
      </c>
      <c r="E3" s="123"/>
      <c r="F3" s="127"/>
    </row>
    <row r="4" spans="1:6" ht="13.5" thickBot="1">
      <c r="A4" s="125"/>
      <c r="B4" s="126"/>
      <c r="C4" s="7"/>
      <c r="D4" s="109" t="s">
        <v>191</v>
      </c>
      <c r="E4" s="123"/>
      <c r="F4" s="127"/>
    </row>
    <row r="5" spans="1:6" ht="13.5" thickBot="1">
      <c r="A5" s="131" t="s">
        <v>223</v>
      </c>
      <c r="B5" s="130"/>
      <c r="C5" s="75"/>
      <c r="D5" s="109" t="s">
        <v>193</v>
      </c>
      <c r="E5" s="123"/>
      <c r="F5" s="127"/>
    </row>
    <row r="6" spans="1:6" ht="12.75">
      <c r="A6" s="11" t="s">
        <v>16</v>
      </c>
      <c r="B6" s="13">
        <v>102</v>
      </c>
      <c r="C6" s="126" t="s">
        <v>94</v>
      </c>
      <c r="D6" s="131" t="s">
        <v>26</v>
      </c>
      <c r="E6" s="108"/>
      <c r="F6" s="75"/>
    </row>
    <row r="7" spans="1:6" ht="14.25">
      <c r="A7" s="11" t="s">
        <v>19</v>
      </c>
      <c r="B7" s="13">
        <v>100</v>
      </c>
      <c r="C7" s="126" t="s">
        <v>94</v>
      </c>
      <c r="D7" s="11" t="s">
        <v>27</v>
      </c>
      <c r="E7" s="13">
        <v>62.4</v>
      </c>
      <c r="F7" s="128" t="s">
        <v>224</v>
      </c>
    </row>
    <row r="8" spans="1:6" ht="15" thickBot="1">
      <c r="A8" s="11" t="s">
        <v>14</v>
      </c>
      <c r="B8" s="13">
        <v>0</v>
      </c>
      <c r="C8" s="128" t="s">
        <v>93</v>
      </c>
      <c r="D8" s="51" t="s">
        <v>195</v>
      </c>
      <c r="E8" s="64">
        <v>1.21E-05</v>
      </c>
      <c r="F8" s="44" t="s">
        <v>225</v>
      </c>
    </row>
    <row r="9" spans="1:6" ht="12.75">
      <c r="A9" s="11" t="s">
        <v>18</v>
      </c>
      <c r="B9" s="13">
        <v>0</v>
      </c>
      <c r="C9" s="128" t="s">
        <v>93</v>
      </c>
      <c r="D9" s="129" t="s">
        <v>226</v>
      </c>
      <c r="E9" s="108"/>
      <c r="F9" s="75"/>
    </row>
    <row r="10" spans="1:6" ht="15.75">
      <c r="A10" s="136" t="s">
        <v>198</v>
      </c>
      <c r="B10" s="22">
        <f>(B6-B7)*144/E7+B8-B9</f>
        <v>4.615384615384616</v>
      </c>
      <c r="C10" s="6" t="s">
        <v>93</v>
      </c>
      <c r="D10" s="17" t="s">
        <v>199</v>
      </c>
      <c r="E10" s="10">
        <f>B12/(32.2*B10)</f>
        <v>0.6728778467908901</v>
      </c>
      <c r="F10" s="6"/>
    </row>
    <row r="11" spans="1:6" ht="15" thickBot="1">
      <c r="A11" s="11" t="s">
        <v>12</v>
      </c>
      <c r="B11" s="12">
        <v>0.5</v>
      </c>
      <c r="C11" s="7" t="s">
        <v>227</v>
      </c>
      <c r="D11" s="66" t="s">
        <v>201</v>
      </c>
      <c r="E11" s="31">
        <f>B13^1.25*(E10*B11^2)^4.75+E8*B11^9.4*E10^5.2</f>
        <v>5.773909013355923E-09</v>
      </c>
      <c r="F11" s="34"/>
    </row>
    <row r="12" spans="1:6" ht="12.75">
      <c r="A12" s="11" t="s">
        <v>202</v>
      </c>
      <c r="B12" s="12">
        <v>100</v>
      </c>
      <c r="C12" s="26" t="s">
        <v>93</v>
      </c>
      <c r="D12" s="129" t="s">
        <v>203</v>
      </c>
      <c r="E12" s="108"/>
      <c r="F12" s="75"/>
    </row>
    <row r="13" spans="1:6" ht="13.5" thickBot="1">
      <c r="A13" s="51" t="s">
        <v>204</v>
      </c>
      <c r="B13" s="64">
        <v>0.00015</v>
      </c>
      <c r="C13" s="44" t="s">
        <v>93</v>
      </c>
      <c r="D13" s="66" t="s">
        <v>205</v>
      </c>
      <c r="E13" s="67">
        <f>0.66*E11^0.04</f>
        <v>0.3090314879533339</v>
      </c>
      <c r="F13" s="34" t="s">
        <v>183</v>
      </c>
    </row>
    <row r="14" ht="13.5" thickBot="1"/>
    <row r="15" spans="1:6" ht="13.5" thickBot="1">
      <c r="A15" s="120" t="s">
        <v>206</v>
      </c>
      <c r="B15" s="74"/>
      <c r="C15" s="110"/>
      <c r="D15" s="47" t="s">
        <v>207</v>
      </c>
      <c r="E15" s="48">
        <v>0.3355</v>
      </c>
      <c r="F15" s="134" t="s">
        <v>93</v>
      </c>
    </row>
    <row r="16" spans="1:6" ht="13.5" thickBot="1">
      <c r="A16" s="115" t="s">
        <v>208</v>
      </c>
      <c r="B16" s="13"/>
      <c r="C16" s="116"/>
      <c r="D16" s="125" t="s">
        <v>228</v>
      </c>
      <c r="E16" s="122"/>
      <c r="F16" s="26"/>
    </row>
    <row r="17" spans="1:6" ht="12.75">
      <c r="A17" s="114" t="s">
        <v>210</v>
      </c>
      <c r="B17" s="7"/>
      <c r="C17" s="26"/>
      <c r="D17" s="154" t="s">
        <v>211</v>
      </c>
      <c r="E17" s="3"/>
      <c r="F17" s="4"/>
    </row>
    <row r="18" spans="1:6" ht="13.5" thickBot="1">
      <c r="A18" s="94" t="s">
        <v>212</v>
      </c>
      <c r="B18" s="39"/>
      <c r="C18" s="44"/>
      <c r="D18" s="148" t="s">
        <v>21</v>
      </c>
      <c r="E18" s="24">
        <f>B23</f>
        <v>5.655813418747571</v>
      </c>
      <c r="F18" s="26" t="s">
        <v>103</v>
      </c>
    </row>
    <row r="19" spans="1:6" ht="12.75">
      <c r="A19" s="117" t="s">
        <v>161</v>
      </c>
      <c r="B19" s="118"/>
      <c r="C19" s="119"/>
      <c r="D19" s="148" t="s">
        <v>24</v>
      </c>
      <c r="E19" s="24">
        <f>B23</f>
        <v>5.655813418747571</v>
      </c>
      <c r="F19" s="26" t="s">
        <v>103</v>
      </c>
    </row>
    <row r="20" spans="1:6" ht="14.25">
      <c r="A20" s="17" t="s">
        <v>213</v>
      </c>
      <c r="B20" s="83">
        <f>PI()*E15^2/4</f>
        <v>0.08840461362155765</v>
      </c>
      <c r="C20" s="6" t="s">
        <v>101</v>
      </c>
      <c r="D20" s="17" t="s">
        <v>166</v>
      </c>
      <c r="E20" s="23">
        <f>E18^2/(2*32.2)</f>
        <v>0.4967115749640541</v>
      </c>
      <c r="F20" s="6" t="s">
        <v>93</v>
      </c>
    </row>
    <row r="21" spans="1:6" ht="13.5" thickBot="1">
      <c r="A21" s="136" t="s">
        <v>214</v>
      </c>
      <c r="B21" s="21">
        <f>E15/B13</f>
        <v>2236.666666666667</v>
      </c>
      <c r="C21" s="6"/>
      <c r="D21" s="66" t="s">
        <v>167</v>
      </c>
      <c r="E21" s="153">
        <f>E19^2/(2*32.2)</f>
        <v>0.4967115749640541</v>
      </c>
      <c r="F21" s="34" t="s">
        <v>93</v>
      </c>
    </row>
    <row r="22" spans="1:6" ht="12.75">
      <c r="A22" s="20" t="s">
        <v>41</v>
      </c>
      <c r="B22" s="21">
        <f>B12/E15</f>
        <v>298.06259314456037</v>
      </c>
      <c r="C22" s="6"/>
      <c r="D22" s="107" t="s">
        <v>77</v>
      </c>
      <c r="E22" s="155"/>
      <c r="F22" s="165"/>
    </row>
    <row r="23" spans="1:6" ht="12.75">
      <c r="A23" s="17" t="s">
        <v>42</v>
      </c>
      <c r="B23" s="22">
        <f>B11/B20</f>
        <v>5.655813418747571</v>
      </c>
      <c r="C23" s="6" t="s">
        <v>103</v>
      </c>
      <c r="D23" s="101" t="s">
        <v>215</v>
      </c>
      <c r="E23" s="139">
        <f>B6</f>
        <v>102</v>
      </c>
      <c r="F23" s="140" t="s">
        <v>94</v>
      </c>
    </row>
    <row r="24" spans="1:6" ht="12.75">
      <c r="A24" s="17" t="s">
        <v>45</v>
      </c>
      <c r="B24" s="23">
        <f>B23^2/(2*32.2)</f>
        <v>0.4967115749640541</v>
      </c>
      <c r="C24" s="6" t="s">
        <v>93</v>
      </c>
      <c r="D24" s="101" t="s">
        <v>216</v>
      </c>
      <c r="E24" s="139">
        <f>B7</f>
        <v>100</v>
      </c>
      <c r="F24" s="140" t="s">
        <v>94</v>
      </c>
    </row>
    <row r="25" spans="1:6" ht="12.75">
      <c r="A25" s="17" t="s">
        <v>47</v>
      </c>
      <c r="B25" s="18">
        <f>B23*E15/E8</f>
        <v>156820.28115618267</v>
      </c>
      <c r="C25" s="6"/>
      <c r="D25" s="9" t="s">
        <v>217</v>
      </c>
      <c r="E25" s="141">
        <f>B6+E7*(B8-B9+E20-E21-E36)/144</f>
        <v>100.46257100766466</v>
      </c>
      <c r="F25" s="142" t="s">
        <v>94</v>
      </c>
    </row>
    <row r="26" spans="1:6" ht="13.5" thickBot="1">
      <c r="A26" s="66" t="s">
        <v>49</v>
      </c>
      <c r="B26" s="67">
        <f>0.25/(LOG10(1/(3.7*B21)+5.74/B25^0.9))^2</f>
        <v>0.01911612995285138</v>
      </c>
      <c r="C26" s="34"/>
      <c r="D26" s="9" t="s">
        <v>229</v>
      </c>
      <c r="E26" s="28"/>
      <c r="F26" s="142"/>
    </row>
    <row r="27" spans="1:6" ht="12.75">
      <c r="A27" s="60" t="s">
        <v>168</v>
      </c>
      <c r="B27" s="198" t="s">
        <v>51</v>
      </c>
      <c r="C27" s="80" t="s">
        <v>52</v>
      </c>
      <c r="D27" s="3"/>
      <c r="E27" s="3"/>
      <c r="F27" s="4"/>
    </row>
    <row r="28" spans="1:6" ht="15.75">
      <c r="A28" s="20" t="s">
        <v>219</v>
      </c>
      <c r="B28" s="81">
        <f>B26*B22</f>
        <v>5.697803264635285</v>
      </c>
      <c r="C28" s="201">
        <v>1</v>
      </c>
      <c r="D28" s="19" t="s">
        <v>54</v>
      </c>
      <c r="E28" s="22">
        <f>B28*B24</f>
        <v>2.8301648334123213</v>
      </c>
      <c r="F28" s="6" t="s">
        <v>93</v>
      </c>
    </row>
    <row r="29" spans="1:6" ht="15.75">
      <c r="A29" s="11" t="s">
        <v>230</v>
      </c>
      <c r="B29" s="24">
        <v>0.34</v>
      </c>
      <c r="C29" s="25">
        <v>2</v>
      </c>
      <c r="D29" s="19" t="s">
        <v>57</v>
      </c>
      <c r="E29" s="22">
        <f>B29*C29*$B$24</f>
        <v>0.3377638709755568</v>
      </c>
      <c r="F29" s="6" t="s">
        <v>93</v>
      </c>
    </row>
    <row r="30" spans="1:6" ht="15.75">
      <c r="A30" s="11" t="s">
        <v>171</v>
      </c>
      <c r="B30" s="24">
        <v>0.765</v>
      </c>
      <c r="C30" s="25">
        <v>1</v>
      </c>
      <c r="D30" s="19" t="s">
        <v>60</v>
      </c>
      <c r="E30" s="22">
        <f aca="true" t="shared" si="0" ref="E30:E35">B30*C30*$B$24</f>
        <v>0.37998435484750137</v>
      </c>
      <c r="F30" s="6" t="s">
        <v>93</v>
      </c>
    </row>
    <row r="31" spans="1:6" ht="15.75">
      <c r="A31" s="11" t="s">
        <v>61</v>
      </c>
      <c r="B31" s="24">
        <v>0</v>
      </c>
      <c r="C31" s="25">
        <v>1</v>
      </c>
      <c r="D31" s="19" t="s">
        <v>62</v>
      </c>
      <c r="E31" s="22">
        <f t="shared" si="0"/>
        <v>0</v>
      </c>
      <c r="F31" s="6" t="s">
        <v>93</v>
      </c>
    </row>
    <row r="32" spans="1:6" ht="15.75">
      <c r="A32" s="11" t="s">
        <v>63</v>
      </c>
      <c r="B32" s="24">
        <v>0</v>
      </c>
      <c r="C32" s="25">
        <v>1</v>
      </c>
      <c r="D32" s="19" t="s">
        <v>64</v>
      </c>
      <c r="E32" s="22">
        <f t="shared" si="0"/>
        <v>0</v>
      </c>
      <c r="F32" s="6" t="s">
        <v>93</v>
      </c>
    </row>
    <row r="33" spans="1:6" ht="15.75">
      <c r="A33" s="11" t="s">
        <v>65</v>
      </c>
      <c r="B33" s="24">
        <v>0</v>
      </c>
      <c r="C33" s="25">
        <v>1</v>
      </c>
      <c r="D33" s="19" t="s">
        <v>66</v>
      </c>
      <c r="E33" s="22">
        <f t="shared" si="0"/>
        <v>0</v>
      </c>
      <c r="F33" s="6" t="s">
        <v>93</v>
      </c>
    </row>
    <row r="34" spans="1:6" ht="15.75">
      <c r="A34" s="11" t="s">
        <v>67</v>
      </c>
      <c r="B34" s="24">
        <v>0</v>
      </c>
      <c r="C34" s="25">
        <v>1</v>
      </c>
      <c r="D34" s="19" t="s">
        <v>68</v>
      </c>
      <c r="E34" s="22">
        <f t="shared" si="0"/>
        <v>0</v>
      </c>
      <c r="F34" s="6" t="s">
        <v>93</v>
      </c>
    </row>
    <row r="35" spans="1:6" ht="16.5" thickBot="1">
      <c r="A35" s="51" t="s">
        <v>69</v>
      </c>
      <c r="B35" s="70">
        <v>0</v>
      </c>
      <c r="C35" s="71">
        <v>1</v>
      </c>
      <c r="D35" s="19" t="s">
        <v>70</v>
      </c>
      <c r="E35" s="22">
        <f t="shared" si="0"/>
        <v>0</v>
      </c>
      <c r="F35" s="6" t="s">
        <v>93</v>
      </c>
    </row>
    <row r="36" spans="4:6" ht="16.5" thickBot="1">
      <c r="D36" s="112" t="s">
        <v>76</v>
      </c>
      <c r="E36" s="113">
        <f>SUM(E28:E35)</f>
        <v>3.5479130592353796</v>
      </c>
      <c r="F36" s="85" t="s">
        <v>93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20.00390625" style="0" customWidth="1"/>
    <col min="2" max="2" width="8.7109375" style="0" customWidth="1"/>
    <col min="3" max="3" width="6.57421875" style="0" customWidth="1"/>
    <col min="4" max="4" width="6.8515625" style="0" customWidth="1"/>
    <col min="5" max="5" width="22.28125" style="0" customWidth="1"/>
    <col min="6" max="6" width="9.421875" style="0" customWidth="1"/>
    <col min="7" max="7" width="16.28125" style="0" customWidth="1"/>
  </cols>
  <sheetData>
    <row r="1" spans="1:7" ht="13.5" thickBot="1">
      <c r="A1" s="35" t="s">
        <v>0</v>
      </c>
      <c r="B1" s="36"/>
      <c r="C1" s="196" t="s">
        <v>231</v>
      </c>
      <c r="D1" s="171"/>
      <c r="E1" s="74"/>
      <c r="F1" s="74"/>
      <c r="G1" s="110"/>
    </row>
    <row r="2" spans="1:7" ht="13.5" thickBot="1">
      <c r="A2" s="1" t="s">
        <v>232</v>
      </c>
      <c r="B2" s="2"/>
      <c r="C2" s="41" t="s">
        <v>3</v>
      </c>
      <c r="D2" s="118"/>
      <c r="E2" s="37"/>
      <c r="F2" s="37"/>
      <c r="G2" s="73"/>
    </row>
    <row r="3" spans="1:7" ht="12.75">
      <c r="A3" s="45" t="s">
        <v>233</v>
      </c>
      <c r="B3" s="46"/>
      <c r="C3" s="42" t="s">
        <v>86</v>
      </c>
      <c r="D3" s="7" t="s">
        <v>234</v>
      </c>
      <c r="E3" s="122"/>
      <c r="F3" s="8"/>
      <c r="G3" s="26"/>
    </row>
    <row r="4" spans="1:7" ht="13.5" thickBot="1">
      <c r="A4" s="38" t="s">
        <v>235</v>
      </c>
      <c r="B4" s="39"/>
      <c r="C4" s="43" t="s">
        <v>89</v>
      </c>
      <c r="D4" s="40" t="s">
        <v>236</v>
      </c>
      <c r="E4" s="39"/>
      <c r="F4" s="39"/>
      <c r="G4" s="44"/>
    </row>
    <row r="5" spans="1:7" ht="13.5" thickBot="1">
      <c r="A5" s="9" t="s">
        <v>10</v>
      </c>
      <c r="B5" s="5" t="s">
        <v>91</v>
      </c>
      <c r="C5" s="10"/>
      <c r="D5" s="10"/>
      <c r="E5" s="10"/>
      <c r="F5" s="10"/>
      <c r="G5" s="6"/>
    </row>
    <row r="6" spans="1:7" ht="14.25">
      <c r="A6" s="47" t="s">
        <v>12</v>
      </c>
      <c r="B6" s="178">
        <f>225/449</f>
        <v>0.5011135857461024</v>
      </c>
      <c r="C6" s="49" t="s">
        <v>92</v>
      </c>
      <c r="D6" s="48"/>
      <c r="E6" s="47" t="s">
        <v>14</v>
      </c>
      <c r="F6" s="48">
        <v>0</v>
      </c>
      <c r="G6" s="49" t="s">
        <v>93</v>
      </c>
    </row>
    <row r="7" spans="1:7" ht="13.5" thickBot="1">
      <c r="A7" s="11" t="s">
        <v>16</v>
      </c>
      <c r="B7" s="12">
        <v>0</v>
      </c>
      <c r="C7" s="50" t="s">
        <v>94</v>
      </c>
      <c r="D7" s="12"/>
      <c r="E7" s="51" t="s">
        <v>18</v>
      </c>
      <c r="F7" s="52">
        <v>80</v>
      </c>
      <c r="G7" s="53" t="s">
        <v>93</v>
      </c>
    </row>
    <row r="8" spans="1:7" ht="15.75">
      <c r="A8" s="11" t="s">
        <v>19</v>
      </c>
      <c r="B8" s="12">
        <v>35</v>
      </c>
      <c r="C8" s="50" t="s">
        <v>94</v>
      </c>
      <c r="D8" s="12"/>
      <c r="E8" s="114" t="s">
        <v>95</v>
      </c>
      <c r="F8" s="122"/>
      <c r="G8" s="26"/>
    </row>
    <row r="9" spans="1:7" ht="12.75">
      <c r="A9" s="11" t="s">
        <v>21</v>
      </c>
      <c r="B9" s="24">
        <v>0</v>
      </c>
      <c r="C9" s="50" t="s">
        <v>96</v>
      </c>
      <c r="D9" s="114"/>
      <c r="E9" s="55" t="s">
        <v>23</v>
      </c>
      <c r="F9" s="81">
        <f>B9^2/(2*32.2)</f>
        <v>0</v>
      </c>
      <c r="G9" s="84" t="s">
        <v>93</v>
      </c>
    </row>
    <row r="10" spans="1:7" ht="13.5" thickBot="1">
      <c r="A10" s="51" t="s">
        <v>24</v>
      </c>
      <c r="B10" s="70">
        <v>0</v>
      </c>
      <c r="C10" s="53" t="s">
        <v>96</v>
      </c>
      <c r="D10" s="94"/>
      <c r="E10" s="57" t="s">
        <v>25</v>
      </c>
      <c r="F10" s="82">
        <f>B10^2/(2*32.2)</f>
        <v>0</v>
      </c>
      <c r="G10" s="84" t="s">
        <v>93</v>
      </c>
    </row>
    <row r="11" spans="1:7" ht="12.75">
      <c r="A11" s="60" t="s">
        <v>26</v>
      </c>
      <c r="B11" s="3"/>
      <c r="C11" s="3"/>
      <c r="D11" s="10"/>
      <c r="E11" s="6" t="s">
        <v>283</v>
      </c>
      <c r="F11" s="61"/>
      <c r="G11" s="62"/>
    </row>
    <row r="12" spans="1:7" ht="15" thickBot="1">
      <c r="A12" s="51" t="s">
        <v>27</v>
      </c>
      <c r="B12" s="70">
        <v>62.4</v>
      </c>
      <c r="C12" s="52" t="s">
        <v>97</v>
      </c>
      <c r="D12" s="52"/>
      <c r="E12" s="63" t="s">
        <v>29</v>
      </c>
      <c r="F12" s="64">
        <v>1.21E-05</v>
      </c>
      <c r="G12" s="53" t="s">
        <v>98</v>
      </c>
    </row>
    <row r="13" spans="1:7" ht="12.75">
      <c r="A13" s="65" t="s">
        <v>237</v>
      </c>
      <c r="B13" s="48"/>
      <c r="C13" s="49"/>
      <c r="D13" s="48"/>
      <c r="E13" s="65" t="s">
        <v>100</v>
      </c>
      <c r="F13" s="68"/>
      <c r="G13" s="49"/>
    </row>
    <row r="14" spans="1:7" ht="12.75">
      <c r="A14" s="11" t="s">
        <v>33</v>
      </c>
      <c r="B14" s="12">
        <v>0.2957</v>
      </c>
      <c r="C14" s="50" t="s">
        <v>93</v>
      </c>
      <c r="D14" s="12"/>
      <c r="E14" s="11" t="s">
        <v>33</v>
      </c>
      <c r="F14" s="12">
        <v>0.2058</v>
      </c>
      <c r="G14" s="50" t="s">
        <v>93</v>
      </c>
    </row>
    <row r="15" spans="1:7" ht="12.75">
      <c r="A15" s="11" t="s">
        <v>34</v>
      </c>
      <c r="B15" s="15">
        <v>0.00015</v>
      </c>
      <c r="C15" s="50" t="s">
        <v>93</v>
      </c>
      <c r="D15" s="12"/>
      <c r="E15" s="11" t="s">
        <v>34</v>
      </c>
      <c r="F15" s="15">
        <v>0.00015</v>
      </c>
      <c r="G15" s="50" t="s">
        <v>290</v>
      </c>
    </row>
    <row r="16" spans="1:7" ht="12.75">
      <c r="A16" s="11" t="s">
        <v>35</v>
      </c>
      <c r="B16" s="16">
        <v>8</v>
      </c>
      <c r="C16" s="50" t="s">
        <v>93</v>
      </c>
      <c r="D16" s="12"/>
      <c r="E16" s="11" t="s">
        <v>35</v>
      </c>
      <c r="F16" s="16">
        <v>360</v>
      </c>
      <c r="G16" s="50" t="s">
        <v>93</v>
      </c>
    </row>
    <row r="17" spans="1:7" ht="14.25">
      <c r="A17" s="17" t="s">
        <v>36</v>
      </c>
      <c r="B17" s="83">
        <f>PI()*B14^2/4</f>
        <v>0.06867402945624615</v>
      </c>
      <c r="C17" s="6" t="s">
        <v>101</v>
      </c>
      <c r="D17" s="10"/>
      <c r="E17" s="17" t="s">
        <v>36</v>
      </c>
      <c r="F17" s="83">
        <f>PI()*F14^2/4</f>
        <v>0.03326447106919671</v>
      </c>
      <c r="G17" s="6" t="s">
        <v>238</v>
      </c>
    </row>
    <row r="18" spans="1:7" ht="12.75">
      <c r="A18" s="20" t="s">
        <v>39</v>
      </c>
      <c r="B18" s="21">
        <f>B14/B15</f>
        <v>1971.3333333333337</v>
      </c>
      <c r="C18" s="6"/>
      <c r="D18" s="10"/>
      <c r="E18" s="20" t="s">
        <v>39</v>
      </c>
      <c r="F18" s="21">
        <f>F14/F15</f>
        <v>1372.0000000000002</v>
      </c>
      <c r="G18" s="76" t="s">
        <v>239</v>
      </c>
    </row>
    <row r="19" spans="1:7" ht="12.75">
      <c r="A19" s="20" t="s">
        <v>41</v>
      </c>
      <c r="B19" s="21">
        <f>B16/B14</f>
        <v>27.054447074737908</v>
      </c>
      <c r="C19" s="6"/>
      <c r="D19" s="10"/>
      <c r="E19" s="20" t="s">
        <v>41</v>
      </c>
      <c r="F19" s="21">
        <f>F16/F14</f>
        <v>1749.2711370262389</v>
      </c>
      <c r="G19" s="6"/>
    </row>
    <row r="20" spans="1:7" ht="12.75">
      <c r="A20" s="17" t="s">
        <v>42</v>
      </c>
      <c r="B20" s="22">
        <f>B6/B17</f>
        <v>7.296988245976942</v>
      </c>
      <c r="C20" s="6" t="s">
        <v>103</v>
      </c>
      <c r="D20" s="10"/>
      <c r="E20" s="17" t="s">
        <v>42</v>
      </c>
      <c r="F20" s="22">
        <f>B6/F17</f>
        <v>15.06452889942806</v>
      </c>
      <c r="G20" s="6" t="s">
        <v>240</v>
      </c>
    </row>
    <row r="21" spans="1:7" ht="14.25">
      <c r="A21" s="17" t="s">
        <v>45</v>
      </c>
      <c r="B21" s="23">
        <f>B20^2/(2*32.2)</f>
        <v>0.8268018239429448</v>
      </c>
      <c r="C21" s="6" t="s">
        <v>93</v>
      </c>
      <c r="D21" s="10"/>
      <c r="E21" s="17" t="s">
        <v>45</v>
      </c>
      <c r="F21" s="23">
        <f>F20^2/(2*32.2)</f>
        <v>3.5239135242500494</v>
      </c>
      <c r="G21" s="6" t="s">
        <v>241</v>
      </c>
    </row>
    <row r="22" spans="1:7" ht="15.75">
      <c r="A22" s="17" t="s">
        <v>47</v>
      </c>
      <c r="B22" s="18">
        <f>B20*B14/F12</f>
        <v>178323.91936656047</v>
      </c>
      <c r="C22" s="6"/>
      <c r="D22" s="10"/>
      <c r="E22" s="17" t="s">
        <v>47</v>
      </c>
      <c r="F22" s="18">
        <f>F20*F14/F12</f>
        <v>256221.4915291153</v>
      </c>
      <c r="G22" s="77" t="s">
        <v>242</v>
      </c>
    </row>
    <row r="23" spans="1:7" ht="13.5" thickBot="1">
      <c r="A23" s="66" t="s">
        <v>49</v>
      </c>
      <c r="B23" s="67">
        <f>0.25/(LOG10(1/(3.7*B18)+5.74/B22^0.9))^2</f>
        <v>0.019173618884546918</v>
      </c>
      <c r="C23" s="34"/>
      <c r="D23" s="31"/>
      <c r="E23" s="66" t="s">
        <v>49</v>
      </c>
      <c r="F23" s="67">
        <f>0.25/(LOG10(1/(3.7*F18)+5.74/F22^0.9))^2</f>
        <v>0.019715536465471424</v>
      </c>
      <c r="G23" s="166" t="s">
        <v>282</v>
      </c>
    </row>
    <row r="24" spans="1:7" ht="12.75">
      <c r="A24" s="60" t="s">
        <v>50</v>
      </c>
      <c r="B24" s="198" t="s">
        <v>51</v>
      </c>
      <c r="C24" s="80" t="s">
        <v>52</v>
      </c>
      <c r="D24" s="80" t="s">
        <v>243</v>
      </c>
      <c r="E24" s="3"/>
      <c r="F24" s="3"/>
      <c r="G24" s="4"/>
    </row>
    <row r="25" spans="1:7" ht="15.75">
      <c r="A25" s="20" t="s">
        <v>106</v>
      </c>
      <c r="B25" s="202">
        <f>B23*B19</f>
        <v>0.5187316573431698</v>
      </c>
      <c r="C25" s="201">
        <v>1</v>
      </c>
      <c r="D25" s="174">
        <f>B25*C25</f>
        <v>0.5187316573431698</v>
      </c>
      <c r="E25" s="19" t="s">
        <v>54</v>
      </c>
      <c r="F25" s="22">
        <f>B25*$B$21</f>
        <v>0.4288882804282795</v>
      </c>
      <c r="G25" s="6" t="s">
        <v>93</v>
      </c>
    </row>
    <row r="26" spans="1:7" ht="15.75">
      <c r="A26" s="11" t="s">
        <v>244</v>
      </c>
      <c r="B26" s="172">
        <v>0.5</v>
      </c>
      <c r="C26" s="25">
        <v>1</v>
      </c>
      <c r="D26" s="174">
        <f aca="true" t="shared" si="0" ref="D26:D32">B26*C26</f>
        <v>0.5</v>
      </c>
      <c r="E26" s="19" t="s">
        <v>57</v>
      </c>
      <c r="F26" s="22">
        <f>B26*C26*$B$21</f>
        <v>0.4134009119714724</v>
      </c>
      <c r="G26" s="6" t="s">
        <v>93</v>
      </c>
    </row>
    <row r="27" spans="1:7" ht="15.75">
      <c r="A27" s="11" t="s">
        <v>245</v>
      </c>
      <c r="B27" s="172">
        <v>0.136</v>
      </c>
      <c r="C27" s="25">
        <v>1</v>
      </c>
      <c r="D27" s="174">
        <f t="shared" si="0"/>
        <v>0.136</v>
      </c>
      <c r="E27" s="19" t="s">
        <v>60</v>
      </c>
      <c r="F27" s="22">
        <f aca="true" t="shared" si="1" ref="F27:F32">B27*C27*$B$21</f>
        <v>0.11244504805624049</v>
      </c>
      <c r="G27" s="6" t="s">
        <v>93</v>
      </c>
    </row>
    <row r="28" spans="1:7" ht="15.75">
      <c r="A28" s="11" t="s">
        <v>61</v>
      </c>
      <c r="B28" s="172">
        <v>0</v>
      </c>
      <c r="C28" s="25">
        <v>1</v>
      </c>
      <c r="D28" s="174">
        <f t="shared" si="0"/>
        <v>0</v>
      </c>
      <c r="E28" s="19" t="s">
        <v>62</v>
      </c>
      <c r="F28" s="22">
        <f t="shared" si="1"/>
        <v>0</v>
      </c>
      <c r="G28" s="6" t="s">
        <v>93</v>
      </c>
    </row>
    <row r="29" spans="1:7" ht="15.75">
      <c r="A29" s="11" t="s">
        <v>63</v>
      </c>
      <c r="B29" s="172">
        <v>0</v>
      </c>
      <c r="C29" s="25">
        <v>1</v>
      </c>
      <c r="D29" s="174">
        <f t="shared" si="0"/>
        <v>0</v>
      </c>
      <c r="E29" s="19" t="s">
        <v>64</v>
      </c>
      <c r="F29" s="22">
        <f t="shared" si="1"/>
        <v>0</v>
      </c>
      <c r="G29" s="6" t="s">
        <v>93</v>
      </c>
    </row>
    <row r="30" spans="1:7" ht="15.75">
      <c r="A30" s="11" t="s">
        <v>65</v>
      </c>
      <c r="B30" s="172">
        <v>0</v>
      </c>
      <c r="C30" s="25">
        <v>1</v>
      </c>
      <c r="D30" s="174">
        <f t="shared" si="0"/>
        <v>0</v>
      </c>
      <c r="E30" s="19" t="s">
        <v>66</v>
      </c>
      <c r="F30" s="22">
        <f t="shared" si="1"/>
        <v>0</v>
      </c>
      <c r="G30" s="6" t="s">
        <v>93</v>
      </c>
    </row>
    <row r="31" spans="1:7" ht="15.75">
      <c r="A31" s="11" t="s">
        <v>67</v>
      </c>
      <c r="B31" s="172">
        <v>0</v>
      </c>
      <c r="C31" s="25">
        <v>1</v>
      </c>
      <c r="D31" s="174">
        <f t="shared" si="0"/>
        <v>0</v>
      </c>
      <c r="E31" s="19" t="s">
        <v>68</v>
      </c>
      <c r="F31" s="22">
        <f t="shared" si="1"/>
        <v>0</v>
      </c>
      <c r="G31" s="6" t="s">
        <v>93</v>
      </c>
    </row>
    <row r="32" spans="1:7" ht="16.5" thickBot="1">
      <c r="A32" s="51" t="s">
        <v>69</v>
      </c>
      <c r="B32" s="173">
        <v>0</v>
      </c>
      <c r="C32" s="71">
        <v>1</v>
      </c>
      <c r="D32" s="174">
        <f t="shared" si="0"/>
        <v>0</v>
      </c>
      <c r="E32" s="19" t="s">
        <v>70</v>
      </c>
      <c r="F32" s="22">
        <f t="shared" si="1"/>
        <v>0</v>
      </c>
      <c r="G32" s="34" t="s">
        <v>93</v>
      </c>
    </row>
    <row r="33" spans="1:7" ht="12.75">
      <c r="A33" s="60" t="s">
        <v>71</v>
      </c>
      <c r="B33" s="198" t="s">
        <v>51</v>
      </c>
      <c r="C33" s="80" t="s">
        <v>52</v>
      </c>
      <c r="D33" s="80" t="s">
        <v>243</v>
      </c>
      <c r="E33" s="3"/>
      <c r="F33" s="72"/>
      <c r="G33" s="4"/>
    </row>
    <row r="34" spans="1:7" ht="15.75">
      <c r="A34" s="20" t="s">
        <v>106</v>
      </c>
      <c r="B34" s="175">
        <f>F23*F19</f>
        <v>34.487818890037474</v>
      </c>
      <c r="C34" s="79">
        <v>1</v>
      </c>
      <c r="D34" s="174">
        <f>B34*C34</f>
        <v>34.487818890037474</v>
      </c>
      <c r="E34" s="19" t="s">
        <v>54</v>
      </c>
      <c r="F34" s="22">
        <f>B34*F21</f>
        <v>121.53209140848938</v>
      </c>
      <c r="G34" s="6" t="s">
        <v>93</v>
      </c>
    </row>
    <row r="35" spans="1:7" ht="15.75">
      <c r="A35" s="11" t="s">
        <v>246</v>
      </c>
      <c r="B35" s="172">
        <v>1.8</v>
      </c>
      <c r="C35" s="25">
        <v>1</v>
      </c>
      <c r="D35" s="174">
        <f aca="true" t="shared" si="2" ref="D35:D41">B35*C35</f>
        <v>1.8</v>
      </c>
      <c r="E35" s="19" t="s">
        <v>57</v>
      </c>
      <c r="F35" s="22">
        <f>B35*C35*$F$21</f>
        <v>6.343044343650089</v>
      </c>
      <c r="G35" s="6" t="s">
        <v>93</v>
      </c>
    </row>
    <row r="36" spans="1:7" ht="15.75">
      <c r="A36" s="11" t="s">
        <v>247</v>
      </c>
      <c r="B36" s="172">
        <v>0.81</v>
      </c>
      <c r="C36" s="25">
        <v>1</v>
      </c>
      <c r="D36" s="174">
        <f t="shared" si="2"/>
        <v>0.81</v>
      </c>
      <c r="E36" s="19" t="s">
        <v>60</v>
      </c>
      <c r="F36" s="22">
        <f aca="true" t="shared" si="3" ref="F36:F41">B36*C36*$F$21</f>
        <v>2.8543699546425403</v>
      </c>
      <c r="G36" s="6" t="s">
        <v>93</v>
      </c>
    </row>
    <row r="37" spans="1:7" ht="15.75">
      <c r="A37" s="11" t="s">
        <v>248</v>
      </c>
      <c r="B37" s="172">
        <v>0.54</v>
      </c>
      <c r="C37" s="25">
        <v>2</v>
      </c>
      <c r="D37" s="174">
        <f t="shared" si="2"/>
        <v>1.08</v>
      </c>
      <c r="E37" s="19" t="s">
        <v>62</v>
      </c>
      <c r="F37" s="22">
        <f t="shared" si="3"/>
        <v>3.805826606190054</v>
      </c>
      <c r="G37" s="6" t="s">
        <v>93</v>
      </c>
    </row>
    <row r="38" spans="1:7" ht="15.75">
      <c r="A38" s="11" t="s">
        <v>249</v>
      </c>
      <c r="B38" s="172">
        <v>1</v>
      </c>
      <c r="C38" s="25">
        <v>1</v>
      </c>
      <c r="D38" s="174">
        <f t="shared" si="2"/>
        <v>1</v>
      </c>
      <c r="E38" s="19" t="s">
        <v>64</v>
      </c>
      <c r="F38" s="22">
        <f t="shared" si="3"/>
        <v>3.5239135242500494</v>
      </c>
      <c r="G38" s="6" t="s">
        <v>93</v>
      </c>
    </row>
    <row r="39" spans="1:7" ht="15.75">
      <c r="A39" s="11" t="s">
        <v>65</v>
      </c>
      <c r="B39" s="172">
        <v>0</v>
      </c>
      <c r="C39" s="25">
        <v>1</v>
      </c>
      <c r="D39" s="174">
        <f t="shared" si="2"/>
        <v>0</v>
      </c>
      <c r="E39" s="19" t="s">
        <v>66</v>
      </c>
      <c r="F39" s="22">
        <f t="shared" si="3"/>
        <v>0</v>
      </c>
      <c r="G39" s="6" t="s">
        <v>93</v>
      </c>
    </row>
    <row r="40" spans="1:7" ht="15.75">
      <c r="A40" s="11" t="s">
        <v>67</v>
      </c>
      <c r="B40" s="172">
        <v>0</v>
      </c>
      <c r="C40" s="25">
        <v>1</v>
      </c>
      <c r="D40" s="174">
        <f t="shared" si="2"/>
        <v>0</v>
      </c>
      <c r="E40" s="19" t="s">
        <v>68</v>
      </c>
      <c r="F40" s="22">
        <f t="shared" si="3"/>
        <v>0</v>
      </c>
      <c r="G40" s="6" t="s">
        <v>93</v>
      </c>
    </row>
    <row r="41" spans="1:7" ht="16.5" thickBot="1">
      <c r="A41" s="51" t="s">
        <v>69</v>
      </c>
      <c r="B41" s="173">
        <v>0</v>
      </c>
      <c r="C41" s="71">
        <v>1</v>
      </c>
      <c r="D41" s="174">
        <f t="shared" si="2"/>
        <v>0</v>
      </c>
      <c r="E41" s="19" t="s">
        <v>70</v>
      </c>
      <c r="F41" s="33">
        <f t="shared" si="3"/>
        <v>0</v>
      </c>
      <c r="G41" s="34" t="s">
        <v>93</v>
      </c>
    </row>
    <row r="42" spans="1:7" ht="16.5" thickBot="1">
      <c r="A42" s="10"/>
      <c r="B42" s="10"/>
      <c r="C42" s="170"/>
      <c r="D42" s="113"/>
      <c r="E42" s="112" t="s">
        <v>76</v>
      </c>
      <c r="F42" s="113">
        <f>SUM(F25:F41)</f>
        <v>139.01398007767813</v>
      </c>
      <c r="G42" s="85" t="s">
        <v>93</v>
      </c>
    </row>
    <row r="43" spans="1:7" ht="16.5" thickBot="1">
      <c r="A43" s="10"/>
      <c r="B43" s="10"/>
      <c r="C43" s="90" t="s">
        <v>250</v>
      </c>
      <c r="D43" s="85"/>
      <c r="E43" s="176" t="s">
        <v>78</v>
      </c>
      <c r="F43" s="177">
        <f>(B8-B7)*144/B12+(F7-F6)+(F10-F9)+F42</f>
        <v>299.7832108469089</v>
      </c>
      <c r="G43" s="85" t="s">
        <v>93</v>
      </c>
    </row>
    <row r="45" ht="12.75">
      <c r="A45" s="10" t="s">
        <v>251</v>
      </c>
    </row>
    <row r="46" ht="12.75">
      <c r="A46" s="10"/>
    </row>
    <row r="47" spans="1:5" ht="12.75">
      <c r="A47" s="155" t="s">
        <v>252</v>
      </c>
      <c r="B47" s="155"/>
      <c r="C47" s="155"/>
      <c r="E47" t="s">
        <v>253</v>
      </c>
    </row>
    <row r="48" spans="1:6" ht="15.75">
      <c r="A48" s="199" t="s">
        <v>254</v>
      </c>
      <c r="B48" s="200" t="s">
        <v>255</v>
      </c>
      <c r="C48" s="200" t="s">
        <v>256</v>
      </c>
      <c r="E48" s="200" t="s">
        <v>257</v>
      </c>
      <c r="F48" t="s">
        <v>258</v>
      </c>
    </row>
    <row r="49" spans="1:6" ht="12.75">
      <c r="A49" s="170">
        <v>0</v>
      </c>
      <c r="B49" s="179">
        <v>0</v>
      </c>
      <c r="C49" s="179">
        <v>160.8</v>
      </c>
      <c r="E49" s="179">
        <v>0</v>
      </c>
      <c r="F49" s="179">
        <v>370</v>
      </c>
    </row>
    <row r="50" spans="1:6" ht="12.75">
      <c r="A50" s="170">
        <v>25</v>
      </c>
      <c r="B50" s="180">
        <f aca="true" t="shared" si="4" ref="B50:B63">A50/449</f>
        <v>0.0556792873051225</v>
      </c>
      <c r="C50" s="179">
        <v>162.9</v>
      </c>
      <c r="E50" s="179">
        <v>25</v>
      </c>
      <c r="F50" s="179">
        <v>369</v>
      </c>
    </row>
    <row r="51" spans="1:6" ht="12.75">
      <c r="A51" s="170">
        <v>50</v>
      </c>
      <c r="B51" s="180">
        <f t="shared" si="4"/>
        <v>0.111358574610245</v>
      </c>
      <c r="C51" s="179">
        <v>168.6</v>
      </c>
      <c r="E51" s="179">
        <v>50</v>
      </c>
      <c r="F51" s="179">
        <v>368</v>
      </c>
    </row>
    <row r="52" spans="1:6" ht="12.75">
      <c r="A52" s="170">
        <v>75</v>
      </c>
      <c r="B52" s="180">
        <f t="shared" si="4"/>
        <v>0.16703786191536749</v>
      </c>
      <c r="C52" s="179">
        <v>177.6</v>
      </c>
      <c r="E52" s="179">
        <v>75</v>
      </c>
      <c r="F52" s="179">
        <v>366</v>
      </c>
    </row>
    <row r="53" spans="1:6" ht="12.75">
      <c r="A53" s="170">
        <v>100</v>
      </c>
      <c r="B53" s="180">
        <f t="shared" si="4"/>
        <v>0.22271714922049</v>
      </c>
      <c r="C53" s="179">
        <v>189.9</v>
      </c>
      <c r="E53" s="179">
        <v>100</v>
      </c>
      <c r="F53" s="179">
        <v>364</v>
      </c>
    </row>
    <row r="54" spans="1:6" ht="12.75">
      <c r="A54" s="170">
        <v>125</v>
      </c>
      <c r="B54" s="180">
        <f t="shared" si="4"/>
        <v>0.27839643652561247</v>
      </c>
      <c r="C54" s="179">
        <v>205.4</v>
      </c>
      <c r="E54" s="179">
        <v>125</v>
      </c>
      <c r="F54" s="179">
        <v>360</v>
      </c>
    </row>
    <row r="55" spans="1:6" ht="12.75">
      <c r="A55" s="170">
        <v>150</v>
      </c>
      <c r="B55" s="180">
        <f t="shared" si="4"/>
        <v>0.33407572383073497</v>
      </c>
      <c r="C55" s="179">
        <v>224.1</v>
      </c>
      <c r="E55" s="179">
        <v>150</v>
      </c>
      <c r="F55" s="179">
        <v>355</v>
      </c>
    </row>
    <row r="56" spans="1:6" ht="12.75">
      <c r="A56" s="170">
        <v>175</v>
      </c>
      <c r="B56" s="180">
        <f t="shared" si="4"/>
        <v>0.3897550111358575</v>
      </c>
      <c r="C56" s="179">
        <v>246.1</v>
      </c>
      <c r="E56" s="179">
        <v>175</v>
      </c>
      <c r="F56" s="179">
        <v>349</v>
      </c>
    </row>
    <row r="57" spans="1:6" ht="12.75">
      <c r="A57" s="170">
        <v>200</v>
      </c>
      <c r="B57" s="180">
        <f t="shared" si="4"/>
        <v>0.44543429844098</v>
      </c>
      <c r="C57" s="179">
        <v>271.3</v>
      </c>
      <c r="E57" s="179">
        <v>200</v>
      </c>
      <c r="F57" s="179">
        <v>341</v>
      </c>
    </row>
    <row r="58" spans="1:6" ht="12.75">
      <c r="A58" s="170">
        <v>225</v>
      </c>
      <c r="B58" s="180">
        <f t="shared" si="4"/>
        <v>0.5011135857461024</v>
      </c>
      <c r="C58" s="179">
        <v>299.8</v>
      </c>
      <c r="E58" s="179">
        <v>225</v>
      </c>
      <c r="F58" s="179">
        <v>332</v>
      </c>
    </row>
    <row r="59" spans="1:6" ht="12.75">
      <c r="A59" s="170">
        <v>250</v>
      </c>
      <c r="B59" s="180">
        <f t="shared" si="4"/>
        <v>0.5567928730512249</v>
      </c>
      <c r="C59" s="179">
        <v>331.4</v>
      </c>
      <c r="E59" s="179">
        <v>250</v>
      </c>
      <c r="F59" s="179">
        <v>320</v>
      </c>
    </row>
    <row r="60" spans="1:6" ht="12.75">
      <c r="A60" s="170">
        <v>275</v>
      </c>
      <c r="B60" s="180">
        <f t="shared" si="4"/>
        <v>0.6124721603563474</v>
      </c>
      <c r="C60" s="179">
        <v>366.3</v>
      </c>
      <c r="E60" s="179">
        <v>275</v>
      </c>
      <c r="F60" s="179">
        <v>305</v>
      </c>
    </row>
    <row r="61" spans="1:6" ht="12.75">
      <c r="A61" s="170">
        <v>300</v>
      </c>
      <c r="B61" s="180">
        <f t="shared" si="4"/>
        <v>0.6681514476614699</v>
      </c>
      <c r="E61" s="179">
        <v>300</v>
      </c>
      <c r="F61" s="179">
        <v>285</v>
      </c>
    </row>
    <row r="62" spans="1:6" ht="12.75">
      <c r="A62" s="170">
        <v>325</v>
      </c>
      <c r="B62" s="180">
        <f t="shared" si="4"/>
        <v>0.7238307349665924</v>
      </c>
      <c r="E62" s="179">
        <v>325</v>
      </c>
      <c r="F62" s="179">
        <v>265</v>
      </c>
    </row>
    <row r="63" spans="1:6" ht="12.75">
      <c r="A63" s="170">
        <v>350</v>
      </c>
      <c r="B63" s="180">
        <f t="shared" si="4"/>
        <v>0.779510022271715</v>
      </c>
      <c r="E63" s="179">
        <v>350</v>
      </c>
      <c r="F63" s="179">
        <v>245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L. Mott</dc:creator>
  <cp:keywords/>
  <dc:description/>
  <cp:lastModifiedBy>Bob</cp:lastModifiedBy>
  <cp:lastPrinted>2004-06-17T19:36:41Z</cp:lastPrinted>
  <dcterms:created xsi:type="dcterms:W3CDTF">1999-03-05T09:36:32Z</dcterms:created>
  <dcterms:modified xsi:type="dcterms:W3CDTF">2014-01-15T23:05:57Z</dcterms:modified>
  <cp:category/>
  <cp:version/>
  <cp:contentType/>
  <cp:contentStatus/>
</cp:coreProperties>
</file>